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RAMAR\+++Карантин-2020\+Заявки, нові проекти\++SELNEE-продовження 2022_Трибой\+Work-EE Tools\Розрахунки_Заходи\+Готові\"/>
    </mc:Choice>
  </mc:AlternateContent>
  <bookViews>
    <workbookView xWindow="0" yWindow="0" windowWidth="20490" windowHeight="7020" tabRatio="803"/>
  </bookViews>
  <sheets>
    <sheet name="Розрахунок" sheetId="1" r:id="rId1"/>
    <sheet name="CashFlow" sheetId="17" r:id="rId2"/>
    <sheet name="Терм_опір" sheetId="11" r:id="rId3"/>
    <sheet name="Списки" sheetId="8" r:id="rId4"/>
    <sheet name="Тарифи ЦО" sheetId="18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#REF!</definedName>
    <definedName name="_Key1" hidden="1">[1]ESTIMATE!#REF!</definedName>
    <definedName name="_Key2" hidden="1">[1]ESTIMATE!#REF!</definedName>
    <definedName name="_Order1" hidden="1">255</definedName>
    <definedName name="_Order2" hidden="1">255</definedName>
    <definedName name="_Regression_Int" hidden="1">1</definedName>
    <definedName name="ClientName">[2]GeneralData!$C$7</definedName>
    <definedName name="ContNom">[2]GeneralData!$C$21</definedName>
    <definedName name="Date">[2]GeneralData!$C$12</definedName>
    <definedName name="DocNo">[2]GeneralData!$C$9</definedName>
    <definedName name="DocRevNo">[2]GeneralData!$C$10</definedName>
    <definedName name="DocStatus">[2]GeneralData!$C$11</definedName>
    <definedName name="EstimateNAme">[2]GeneralData!$C$2</definedName>
    <definedName name="lang">[3]Electr_price!$K$4:$K$6</definedName>
    <definedName name="NOCONT_L">#REF!</definedName>
    <definedName name="NOCONT_M">#REF!</definedName>
    <definedName name="NOCONT_SC">#REF!</definedName>
    <definedName name="Originator">[2]GeneralData!$C$13</definedName>
    <definedName name="ProjectLocation">[2]GeneralData!$C$6</definedName>
    <definedName name="ProjectName">[2]GeneralData!$C$3</definedName>
    <definedName name="ProjectNo">[2]GeneralData!$C$8</definedName>
    <definedName name="ProjectSubtitle">[2]GeneralData!$C$4</definedName>
    <definedName name="RoundIncrease">[2]GeneralData!$C$22</definedName>
    <definedName name="SUBTOTAL_L_H">#REF!</definedName>
    <definedName name="SUBTOTAL_L_I">#REF!</definedName>
    <definedName name="SUBTOTAL_M_H">#REF!</definedName>
    <definedName name="SUBTOTAL_M_I">#REF!</definedName>
    <definedName name="SUBTOTAL_SC_H">#REF!</definedName>
    <definedName name="SUBTOTAL_SC_I">#REF!</definedName>
    <definedName name="АвтоподборВС">#REF!</definedName>
    <definedName name="Встав">[4]Коригування!$W$9:$W$2131,[4]Коригування!$AF$9:$AH$2131,[4]Коригування!$AM$9:$AM$2131,[4]Коригування!$AO$9:$AO$2131,[4]Коригування!$AQ$9:$AQ$2131,[4]Коригування!$AU$9:$AU$2131,[4]Коригування!$AW$9:$AW$2131+[4]Коригування!$AY$9:$BD$2131,[4]Коригування!$BG$9:$BP$2131,[4]Коригування!$BY$9:$BY$2131,[4]Коригування!$CF$9:$CG$2131,[4]Коригування!$CJ$9:$CO$2131,[4]Коригування!$CX$9:$CY$2131,[4]Коригування!$DB$9:$DC$2131,[4]Коригування!$DJ$9:$DJ$2131,[4]Коригування!$DL$9:$DM$2131,[4]Коригування!$DO$9:$DO$2131,[4]Коригування!$DT$9:$DT$2131</definedName>
    <definedName name="и210">[5]bidding_3!#REF!</definedName>
    <definedName name="іувп">#REF!</definedName>
    <definedName name="ккк">#REF!</definedName>
    <definedName name="Отсорт_Д_СВ">#REF!</definedName>
    <definedName name="Палива">'[6]ІНФ. КОТЛИ'!$AF$8:$AF$14</definedName>
    <definedName name="ппп">#REF!</definedName>
    <definedName name="РЕГ">#REF!</definedName>
    <definedName name="Регіон">#REF!</definedName>
    <definedName name="рел">#REF!</definedName>
    <definedName name="рр">#REF!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УХ">#REF!</definedName>
    <definedName name="ухват">#REF!</definedName>
    <definedName name="чапельник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5" i="1"/>
  <c r="G68" i="1" s="1"/>
  <c r="G66" i="1"/>
  <c r="G67" i="1"/>
  <c r="G64" i="1"/>
  <c r="I67" i="1"/>
  <c r="I66" i="1"/>
  <c r="I65" i="1"/>
  <c r="I64" i="1"/>
  <c r="G46" i="1" l="1"/>
  <c r="D10" i="17"/>
  <c r="E10" i="17" s="1"/>
  <c r="F10" i="17" s="1"/>
  <c r="G10" i="17" s="1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V10" i="17" s="1"/>
  <c r="W10" i="17" s="1"/>
  <c r="X10" i="17" s="1"/>
  <c r="Y10" i="17" s="1"/>
  <c r="Z10" i="17" s="1"/>
  <c r="AA10" i="17" s="1"/>
  <c r="AB10" i="17" s="1"/>
  <c r="AC10" i="17" s="1"/>
  <c r="AD10" i="17" s="1"/>
  <c r="AE10" i="17" s="1"/>
  <c r="AF10" i="17" s="1"/>
  <c r="AG10" i="17" s="1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E52" i="11"/>
  <c r="G52" i="11" s="1"/>
  <c r="G51" i="11"/>
  <c r="E51" i="11"/>
  <c r="C45" i="11"/>
  <c r="D45" i="11" s="1"/>
  <c r="C44" i="11"/>
  <c r="D44" i="11" s="1"/>
  <c r="C43" i="11"/>
  <c r="D43" i="11" s="1"/>
  <c r="C42" i="11"/>
  <c r="D42" i="11" s="1"/>
  <c r="F41" i="11"/>
  <c r="D41" i="11"/>
  <c r="C41" i="11"/>
  <c r="F40" i="11"/>
  <c r="C40" i="11"/>
  <c r="D40" i="11" s="1"/>
  <c r="F39" i="11"/>
  <c r="D39" i="11"/>
  <c r="C39" i="11"/>
  <c r="H38" i="11"/>
  <c r="G38" i="11"/>
  <c r="F38" i="11"/>
  <c r="C38" i="11"/>
  <c r="D38" i="11" s="1"/>
  <c r="F37" i="11"/>
  <c r="D37" i="11"/>
  <c r="C37" i="11"/>
  <c r="F36" i="11"/>
  <c r="C36" i="11"/>
  <c r="D36" i="11" s="1"/>
  <c r="D29" i="11"/>
  <c r="C29" i="11"/>
  <c r="D28" i="11"/>
  <c r="C28" i="11"/>
  <c r="D27" i="11"/>
  <c r="C27" i="11"/>
  <c r="D26" i="11"/>
  <c r="C26" i="11"/>
  <c r="F25" i="11"/>
  <c r="C25" i="11"/>
  <c r="D25" i="11" s="1"/>
  <c r="F24" i="11"/>
  <c r="C24" i="11"/>
  <c r="D24" i="11" s="1"/>
  <c r="F23" i="11"/>
  <c r="C23" i="11"/>
  <c r="D23" i="11" s="1"/>
  <c r="H22" i="11"/>
  <c r="G22" i="11"/>
  <c r="F22" i="11"/>
  <c r="C22" i="11"/>
  <c r="D22" i="11" s="1"/>
  <c r="F21" i="11"/>
  <c r="D21" i="11"/>
  <c r="C21" i="11"/>
  <c r="F20" i="11"/>
  <c r="C20" i="11"/>
  <c r="D20" i="11" s="1"/>
  <c r="C13" i="11"/>
  <c r="D13" i="11" s="1"/>
  <c r="D12" i="11"/>
  <c r="C12" i="11"/>
  <c r="F11" i="11"/>
  <c r="C11" i="11"/>
  <c r="D11" i="11" s="1"/>
  <c r="F10" i="11"/>
  <c r="C10" i="11"/>
  <c r="D10" i="11" s="1"/>
  <c r="F9" i="11"/>
  <c r="C9" i="11"/>
  <c r="D9" i="11" s="1"/>
  <c r="F8" i="11"/>
  <c r="D8" i="11"/>
  <c r="C8" i="11"/>
  <c r="F7" i="11"/>
  <c r="C7" i="11"/>
  <c r="D7" i="11" s="1"/>
  <c r="F6" i="11"/>
  <c r="C6" i="11"/>
  <c r="D6" i="11" s="1"/>
  <c r="H50" i="1"/>
  <c r="H48" i="1"/>
  <c r="H47" i="1"/>
  <c r="H44" i="1"/>
  <c r="G44" i="1"/>
  <c r="H42" i="1"/>
  <c r="G40" i="1"/>
  <c r="H37" i="1"/>
  <c r="G37" i="1"/>
  <c r="H32" i="1"/>
  <c r="H31" i="1"/>
  <c r="H30" i="1"/>
  <c r="H29" i="1"/>
  <c r="G28" i="1"/>
  <c r="G53" i="1" s="1"/>
  <c r="G27" i="1"/>
  <c r="G26" i="1"/>
  <c r="G25" i="1"/>
  <c r="G24" i="1"/>
  <c r="F21" i="1"/>
  <c r="F15" i="1"/>
  <c r="E15" i="1"/>
  <c r="F14" i="1"/>
  <c r="H12" i="1"/>
  <c r="E31" i="11" s="1"/>
  <c r="G12" i="1"/>
  <c r="F12" i="1"/>
  <c r="H41" i="1" s="1"/>
  <c r="H26" i="1" l="1"/>
  <c r="G51" i="1"/>
  <c r="G55" i="1" s="1"/>
  <c r="H55" i="1" s="1"/>
  <c r="F52" i="11"/>
  <c r="G54" i="1"/>
  <c r="H28" i="1"/>
  <c r="H24" i="1"/>
  <c r="G33" i="1"/>
  <c r="G49" i="1" s="1"/>
  <c r="H25" i="1"/>
  <c r="H27" i="1"/>
  <c r="H53" i="1"/>
  <c r="G56" i="1"/>
  <c r="H56" i="1"/>
  <c r="G43" i="1"/>
  <c r="H43" i="1" s="1"/>
  <c r="G52" i="1"/>
  <c r="H52" i="1" s="1"/>
  <c r="H46" i="1"/>
  <c r="E14" i="11"/>
  <c r="E16" i="11" s="1"/>
  <c r="G34" i="1" s="1"/>
  <c r="F14" i="11"/>
  <c r="F16" i="11" s="1"/>
  <c r="H34" i="1" s="1"/>
  <c r="E30" i="11"/>
  <c r="E32" i="11" s="1"/>
  <c r="G35" i="1" s="1"/>
  <c r="F30" i="11"/>
  <c r="F32" i="11" s="1"/>
  <c r="H35" i="1" s="1"/>
  <c r="E15" i="11"/>
  <c r="F46" i="11"/>
  <c r="F48" i="11" s="1"/>
  <c r="H36" i="1" s="1"/>
  <c r="G41" i="1"/>
  <c r="E46" i="11"/>
  <c r="E48" i="11" s="1"/>
  <c r="G36" i="1" s="1"/>
  <c r="H40" i="1"/>
  <c r="E47" i="11"/>
  <c r="H51" i="1" l="1"/>
  <c r="H54" i="1"/>
  <c r="H57" i="1" s="1"/>
  <c r="H58" i="1"/>
  <c r="G58" i="1"/>
  <c r="H33" i="1"/>
  <c r="H49" i="1" s="1"/>
  <c r="G57" i="1"/>
  <c r="I69" i="1" l="1"/>
  <c r="H59" i="1"/>
  <c r="H60" i="1" s="1"/>
  <c r="H61" i="1" s="1"/>
  <c r="G59" i="1"/>
  <c r="G60" i="1" s="1"/>
  <c r="G61" i="1"/>
  <c r="I70" i="1" l="1"/>
  <c r="I71" i="1"/>
  <c r="G71" i="1" s="1"/>
  <c r="G82" i="1"/>
  <c r="H62" i="1"/>
  <c r="G62" i="1"/>
  <c r="I72" i="1" l="1"/>
  <c r="G72" i="1" s="1"/>
  <c r="G73" i="1" s="1"/>
  <c r="D5" i="17"/>
  <c r="G83" i="1" l="1"/>
  <c r="G81" i="1"/>
  <c r="G74" i="1"/>
  <c r="C4" i="17"/>
  <c r="C6" i="17" s="1"/>
  <c r="C7" i="17" s="1"/>
  <c r="D6" i="17"/>
  <c r="E5" i="17"/>
  <c r="C12" i="17" l="1"/>
  <c r="E6" i="17"/>
  <c r="E11" i="17" s="1"/>
  <c r="F5" i="17"/>
  <c r="D11" i="17"/>
  <c r="D12" i="17" s="1"/>
  <c r="D7" i="17"/>
  <c r="E12" i="17" l="1"/>
  <c r="E13" i="17" s="1"/>
  <c r="E14" i="17" s="1"/>
  <c r="D13" i="17"/>
  <c r="D14" i="17" s="1"/>
  <c r="E7" i="17"/>
  <c r="E8" i="17" s="1"/>
  <c r="E9" i="17" s="1"/>
  <c r="D8" i="17"/>
  <c r="D9" i="17" s="1"/>
  <c r="F6" i="17"/>
  <c r="G5" i="17"/>
  <c r="F11" i="17" l="1"/>
  <c r="F12" i="17" s="1"/>
  <c r="F13" i="17" s="1"/>
  <c r="F14" i="17" s="1"/>
  <c r="H5" i="17"/>
  <c r="G6" i="17"/>
  <c r="G11" i="17" s="1"/>
  <c r="F7" i="17"/>
  <c r="F8" i="17" s="1"/>
  <c r="F9" i="17" s="1"/>
  <c r="I5" i="17" l="1"/>
  <c r="H6" i="17"/>
  <c r="G12" i="17"/>
  <c r="G13" i="17" s="1"/>
  <c r="G14" i="17" s="1"/>
  <c r="G7" i="17"/>
  <c r="H7" i="17" l="1"/>
  <c r="H8" i="17" s="1"/>
  <c r="H9" i="17" s="1"/>
  <c r="H11" i="17"/>
  <c r="H12" i="17" s="1"/>
  <c r="G8" i="17"/>
  <c r="G9" i="17" s="1"/>
  <c r="I6" i="17"/>
  <c r="J5" i="17"/>
  <c r="K5" i="17" l="1"/>
  <c r="J6" i="17"/>
  <c r="H13" i="17"/>
  <c r="H14" i="17" s="1"/>
  <c r="I11" i="17"/>
  <c r="I12" i="17" s="1"/>
  <c r="I7" i="17"/>
  <c r="I13" i="17" l="1"/>
  <c r="I14" i="17" s="1"/>
  <c r="J7" i="17"/>
  <c r="I8" i="17"/>
  <c r="I9" i="17" s="1"/>
  <c r="J11" i="17"/>
  <c r="J12" i="17" s="1"/>
  <c r="L5" i="17"/>
  <c r="K6" i="17"/>
  <c r="K11" i="17" s="1"/>
  <c r="K12" i="17" l="1"/>
  <c r="K13" i="17" s="1"/>
  <c r="K14" i="17" s="1"/>
  <c r="J13" i="17"/>
  <c r="J14" i="17" s="1"/>
  <c r="K7" i="17"/>
  <c r="L6" i="17"/>
  <c r="L11" i="17" s="1"/>
  <c r="M5" i="17"/>
  <c r="J8" i="17"/>
  <c r="J9" i="17" s="1"/>
  <c r="L7" i="17" l="1"/>
  <c r="M6" i="17"/>
  <c r="M11" i="17" s="1"/>
  <c r="N5" i="17"/>
  <c r="K8" i="17"/>
  <c r="K9" i="17" s="1"/>
  <c r="L12" i="17"/>
  <c r="L13" i="17" s="1"/>
  <c r="L14" i="17" s="1"/>
  <c r="M12" i="17" l="1"/>
  <c r="M13" i="17" s="1"/>
  <c r="M14" i="17" s="1"/>
  <c r="M7" i="17"/>
  <c r="M8" i="17" s="1"/>
  <c r="M9" i="17" s="1"/>
  <c r="O5" i="17"/>
  <c r="N6" i="17"/>
  <c r="N11" i="17" s="1"/>
  <c r="L8" i="17"/>
  <c r="L9" i="17" s="1"/>
  <c r="P5" i="17" l="1"/>
  <c r="O6" i="17"/>
  <c r="O11" i="17" s="1"/>
  <c r="N7" i="17"/>
  <c r="N8" i="17" s="1"/>
  <c r="N9" i="17" s="1"/>
  <c r="N12" i="17"/>
  <c r="N13" i="17" s="1"/>
  <c r="N14" i="17" s="1"/>
  <c r="Q5" i="17" l="1"/>
  <c r="P6" i="17"/>
  <c r="P11" i="17" s="1"/>
  <c r="O7" i="17"/>
  <c r="O12" i="17"/>
  <c r="Q6" i="17" l="1"/>
  <c r="Q11" i="17" s="1"/>
  <c r="R5" i="17"/>
  <c r="P12" i="17"/>
  <c r="P7" i="17"/>
  <c r="P8" i="17" s="1"/>
  <c r="P9" i="17" s="1"/>
  <c r="O8" i="17"/>
  <c r="O9" i="17" s="1"/>
  <c r="O13" i="17"/>
  <c r="O14" i="17" s="1"/>
  <c r="Q12" i="17" l="1"/>
  <c r="Q13" i="17" s="1"/>
  <c r="Q14" i="17" s="1"/>
  <c r="P13" i="17"/>
  <c r="P14" i="17" s="1"/>
  <c r="Q7" i="17"/>
  <c r="Q8" i="17" s="1"/>
  <c r="Q9" i="17" s="1"/>
  <c r="S5" i="17"/>
  <c r="R6" i="17"/>
  <c r="R11" i="17" s="1"/>
  <c r="R7" i="17" l="1"/>
  <c r="T5" i="17"/>
  <c r="S6" i="17"/>
  <c r="S11" i="17" s="1"/>
  <c r="R12" i="17"/>
  <c r="S12" i="17" l="1"/>
  <c r="S13" i="17" s="1"/>
  <c r="S14" i="17" s="1"/>
  <c r="S7" i="17"/>
  <c r="S8" i="17" s="1"/>
  <c r="S9" i="17" s="1"/>
  <c r="T6" i="17"/>
  <c r="T11" i="17" s="1"/>
  <c r="U5" i="17"/>
  <c r="R13" i="17"/>
  <c r="R14" i="17" s="1"/>
  <c r="R8" i="17"/>
  <c r="R9" i="17" s="1"/>
  <c r="T7" i="17" l="1"/>
  <c r="U6" i="17"/>
  <c r="U11" i="17" s="1"/>
  <c r="V5" i="17"/>
  <c r="T12" i="17"/>
  <c r="T13" i="17" s="1"/>
  <c r="T14" i="17" s="1"/>
  <c r="U7" i="17" l="1"/>
  <c r="U8" i="17" s="1"/>
  <c r="U9" i="17" s="1"/>
  <c r="V6" i="17"/>
  <c r="V11" i="17" s="1"/>
  <c r="W5" i="17"/>
  <c r="U12" i="17"/>
  <c r="T8" i="17"/>
  <c r="T9" i="17" s="1"/>
  <c r="V12" i="17" l="1"/>
  <c r="X5" i="17"/>
  <c r="W6" i="17"/>
  <c r="W11" i="17" s="1"/>
  <c r="U13" i="17"/>
  <c r="U14" i="17" s="1"/>
  <c r="V7" i="17"/>
  <c r="W7" i="17" l="1"/>
  <c r="W12" i="17"/>
  <c r="W13" i="17" s="1"/>
  <c r="W14" i="17" s="1"/>
  <c r="V8" i="17"/>
  <c r="V9" i="17" s="1"/>
  <c r="Y5" i="17"/>
  <c r="X6" i="17"/>
  <c r="X11" i="17" s="1"/>
  <c r="V13" i="17"/>
  <c r="V14" i="17" s="1"/>
  <c r="Y6" i="17" l="1"/>
  <c r="Y11" i="17" s="1"/>
  <c r="Z5" i="17"/>
  <c r="X7" i="17"/>
  <c r="X8" i="17" s="1"/>
  <c r="X9" i="17" s="1"/>
  <c r="X12" i="17"/>
  <c r="X13" i="17" s="1"/>
  <c r="X14" i="17" s="1"/>
  <c r="W8" i="17"/>
  <c r="W9" i="17" s="1"/>
  <c r="Y7" i="17" l="1"/>
  <c r="Y8" i="17" s="1"/>
  <c r="Y9" i="17" s="1"/>
  <c r="Y12" i="17"/>
  <c r="AA5" i="17"/>
  <c r="Z6" i="17"/>
  <c r="Z11" i="17" s="1"/>
  <c r="AB5" i="17" l="1"/>
  <c r="AA6" i="17"/>
  <c r="AA11" i="17" s="1"/>
  <c r="Z12" i="17"/>
  <c r="Z13" i="17" s="1"/>
  <c r="Z14" i="17" s="1"/>
  <c r="Y13" i="17"/>
  <c r="Y14" i="17" s="1"/>
  <c r="Z7" i="17"/>
  <c r="Z8" i="17" s="1"/>
  <c r="Z9" i="17" s="1"/>
  <c r="AB6" i="17" l="1"/>
  <c r="AB11" i="17" s="1"/>
  <c r="AC5" i="17"/>
  <c r="AA12" i="17"/>
  <c r="AA7" i="17"/>
  <c r="AB7" i="17" l="1"/>
  <c r="AB8" i="17" s="1"/>
  <c r="AB9" i="17" s="1"/>
  <c r="AB12" i="17"/>
  <c r="AB13" i="17" s="1"/>
  <c r="AB14" i="17" s="1"/>
  <c r="AA13" i="17"/>
  <c r="AA14" i="17" s="1"/>
  <c r="AA8" i="17"/>
  <c r="AA9" i="17" s="1"/>
  <c r="AC6" i="17"/>
  <c r="AC11" i="17" s="1"/>
  <c r="AD5" i="17"/>
  <c r="AC12" i="17" l="1"/>
  <c r="AC13" i="17" s="1"/>
  <c r="AC14" i="17" s="1"/>
  <c r="AD6" i="17"/>
  <c r="AD11" i="17" s="1"/>
  <c r="AE5" i="17"/>
  <c r="AC7" i="17"/>
  <c r="AD7" i="17" l="1"/>
  <c r="AD8" i="17" s="1"/>
  <c r="AD9" i="17" s="1"/>
  <c r="AF5" i="17"/>
  <c r="AE6" i="17"/>
  <c r="AE11" i="17" s="1"/>
  <c r="AC8" i="17"/>
  <c r="AC9" i="17" s="1"/>
  <c r="AD12" i="17"/>
  <c r="AD13" i="17" s="1"/>
  <c r="AD14" i="17" s="1"/>
  <c r="AE12" i="17" l="1"/>
  <c r="AE13" i="17" s="1"/>
  <c r="AE14" i="17" s="1"/>
  <c r="AG5" i="17"/>
  <c r="AG6" i="17" s="1"/>
  <c r="AF6" i="17"/>
  <c r="AF11" i="17" s="1"/>
  <c r="AE7" i="17"/>
  <c r="AF7" i="17" l="1"/>
  <c r="AG11" i="17"/>
  <c r="C16" i="17"/>
  <c r="G80" i="1" s="1"/>
  <c r="C17" i="17"/>
  <c r="G79" i="1" s="1"/>
  <c r="AE8" i="17"/>
  <c r="AE9" i="17" s="1"/>
  <c r="AF12" i="17"/>
  <c r="AG7" i="17" l="1"/>
  <c r="AG8" i="17" s="1"/>
  <c r="AG9" i="17" s="1"/>
  <c r="AG12" i="17"/>
  <c r="AG13" i="17" s="1"/>
  <c r="AG14" i="17" s="1"/>
  <c r="AF13" i="17"/>
  <c r="AF14" i="17" s="1"/>
  <c r="AF8" i="17"/>
  <c r="AF9" i="17" s="1"/>
  <c r="C19" i="17" l="1"/>
  <c r="G78" i="1" s="1"/>
  <c r="C18" i="17"/>
  <c r="G77" i="1" s="1"/>
</calcChain>
</file>

<file path=xl/comments1.xml><?xml version="1.0" encoding="utf-8"?>
<comments xmlns="http://schemas.openxmlformats.org/spreadsheetml/2006/main">
  <authors>
    <author>Kramar</author>
  </authors>
  <commentList>
    <comment ref="C9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Коеф. Для України за 2012 рік
</t>
        </r>
      </text>
    </comment>
  </commentList>
</comments>
</file>

<file path=xl/sharedStrings.xml><?xml version="1.0" encoding="utf-8"?>
<sst xmlns="http://schemas.openxmlformats.org/spreadsheetml/2006/main" count="483" uniqueCount="345">
  <si>
    <t>Необхідна температура повітря в приміщенні, °С</t>
  </si>
  <si>
    <t>Периметр будівлі в плані, м</t>
  </si>
  <si>
    <t>Висота будівлі, м</t>
  </si>
  <si>
    <t>Коеф-т засклення (відношення площі вікон до площі вертикальних огороджуючих конструкцій)</t>
  </si>
  <si>
    <t xml:space="preserve"> - стін</t>
  </si>
  <si>
    <t xml:space="preserve"> - вікон</t>
  </si>
  <si>
    <t xml:space="preserve"> - підлоги нижнього поверху</t>
  </si>
  <si>
    <t xml:space="preserve"> - стелі верхнього поверху</t>
  </si>
  <si>
    <t>Поправочний коеф-т на температуру горища над стелею</t>
  </si>
  <si>
    <t>Поправочний коеф-т на температуру землі чи підвалу під підлогою</t>
  </si>
  <si>
    <t>Перекриття горищ та холодних підвалів</t>
  </si>
  <si>
    <t>Перекриття над холодними підвалами та технічними поверхами, що розташовані нижче рівня землі</t>
  </si>
  <si>
    <t>Вікна, балконні двері, вітражі та світлопрозорі фасадні системи</t>
  </si>
  <si>
    <t>Зенітні ліхтарі</t>
  </si>
  <si>
    <t>ДБН В.2.6-31_2006_Теплова ізоляція будівель</t>
  </si>
  <si>
    <t>Коефіцієнт, що враховує додаткові тепловтрати, пов'язані з орієнтацією огороджень по сторонах  світу,  наявністю  кутових  приміщень,  надходженням  холодного  повітря  через  входи  в будинок</t>
  </si>
  <si>
    <t>Для житлових будинків</t>
  </si>
  <si>
    <t>Для інших будинків</t>
  </si>
  <si>
    <r>
      <t xml:space="preserve">Коефіцієнт, що враховує додаткові тепловтрати, пов'язані з орієнтацією огороджень по сторонах  світу,  наявністю  кутових  приміщень,  надходженням  холодного  повітря  через  входи  в будинок </t>
    </r>
    <r>
      <rPr>
        <b/>
        <sz val="8"/>
        <color theme="1"/>
        <rFont val="Calibri"/>
        <family val="2"/>
        <charset val="204"/>
        <scheme val="minor"/>
      </rPr>
      <t>(вибрати із списка)</t>
    </r>
    <r>
      <rPr>
        <sz val="8"/>
        <color theme="1"/>
        <rFont val="Calibri"/>
        <family val="2"/>
        <charset val="204"/>
        <scheme val="minor"/>
      </rPr>
      <t>:</t>
    </r>
  </si>
  <si>
    <t>Густина повітря, кг/м3</t>
  </si>
  <si>
    <t>Кратність повітрообміну, год-1</t>
  </si>
  <si>
    <t>Сталеві панельні біля стіни</t>
  </si>
  <si>
    <t>Сталеві панельні біля заскленого проєму</t>
  </si>
  <si>
    <t>Чавунні секційні біля стіни</t>
  </si>
  <si>
    <t>Чавунні секційні біля заскленого проєму</t>
  </si>
  <si>
    <t>Табл.2</t>
  </si>
  <si>
    <t>СНиП 2.04.05-91 ОВК</t>
  </si>
  <si>
    <t>Секційні будинки</t>
  </si>
  <si>
    <t>Будинки баштового типу</t>
  </si>
  <si>
    <t>однотрубна система з термостатами та пофасадним авторегулюванням на ІТП або поквартирним горизонтальним розведенням</t>
  </si>
  <si>
    <t>двотрубна система з термостатами та центральним регулюванням на ІТП</t>
  </si>
  <si>
    <t>однотрубна система з термостатами та з центральним регулюванням на ІТП або двотрубна з термостатми без регулювання на ІТП</t>
  </si>
  <si>
    <t>однотрубна система з термостатами без авторегулювання на ІТП</t>
  </si>
  <si>
    <t>без термостатів, центральне регулювання в котельні</t>
  </si>
  <si>
    <t>без термостатів, центральне регулювання на ІТП по температурі зовнішнього повітря</t>
  </si>
  <si>
    <r>
      <t xml:space="preserve">коефіцієнт  авторегулювання  подавання  тепла  в  системах  опалення  </t>
    </r>
    <r>
      <rPr>
        <b/>
        <sz val="9"/>
        <color theme="1"/>
        <rFont val="Calibri"/>
        <family val="2"/>
        <charset val="204"/>
        <scheme val="minor"/>
      </rPr>
      <t>(вибрати із списка):</t>
    </r>
  </si>
  <si>
    <t>Вінниця</t>
  </si>
  <si>
    <t>Дніпро</t>
  </si>
  <si>
    <t>Донецьк</t>
  </si>
  <si>
    <t>Житомир</t>
  </si>
  <si>
    <t>Запоріжжя</t>
  </si>
  <si>
    <t>Івано-Франківськ</t>
  </si>
  <si>
    <t>I</t>
  </si>
  <si>
    <t>Київ</t>
  </si>
  <si>
    <t>Кропивницький</t>
  </si>
  <si>
    <t>Луганськ</t>
  </si>
  <si>
    <t>Луцьк</t>
  </si>
  <si>
    <t>Львів</t>
  </si>
  <si>
    <t>Миколаїв</t>
  </si>
  <si>
    <t>Одеса</t>
  </si>
  <si>
    <t>Полтава</t>
  </si>
  <si>
    <t>Рівне</t>
  </si>
  <si>
    <t>Сімферополь</t>
  </si>
  <si>
    <t>Суми</t>
  </si>
  <si>
    <t>Тернопіль</t>
  </si>
  <si>
    <t>Ужгород</t>
  </si>
  <si>
    <t>Харків</t>
  </si>
  <si>
    <t>Херсон</t>
  </si>
  <si>
    <t>Хмельницький</t>
  </si>
  <si>
    <t>Черкаси</t>
  </si>
  <si>
    <t>Чернівці</t>
  </si>
  <si>
    <t>Чернігів</t>
  </si>
  <si>
    <t>кВт*год/м2/сезон</t>
  </si>
  <si>
    <r>
      <t xml:space="preserve">Середня величина сонячної радіації за опалювальний період, що поступає на вертикальні поверхні, кВт*год/м2 для міста </t>
    </r>
    <r>
      <rPr>
        <b/>
        <sz val="9"/>
        <color theme="1"/>
        <rFont val="Calibri"/>
        <family val="2"/>
        <charset val="204"/>
        <scheme val="minor"/>
      </rPr>
      <t>(вибрати з переліку):</t>
    </r>
  </si>
  <si>
    <t>Ялта</t>
  </si>
  <si>
    <t>Кількість людей, що перебувають в приміщенні</t>
  </si>
  <si>
    <t>Кубатурний коефіцієнт</t>
  </si>
  <si>
    <t>Опалювана площа, м2</t>
  </si>
  <si>
    <t>Внутрішні теплонадходження, кВт*год/сезон</t>
  </si>
  <si>
    <t>Площа стелі, м2</t>
  </si>
  <si>
    <t>Площа підлоги, м2</t>
  </si>
  <si>
    <t>Площа стін, крім вікон, м3</t>
  </si>
  <si>
    <t>Площа  вікон, м2</t>
  </si>
  <si>
    <t>К-ть вікон, шт</t>
  </si>
  <si>
    <t>Шари матеріалу</t>
  </si>
  <si>
    <t>Шар 1</t>
  </si>
  <si>
    <t>Шар 2</t>
  </si>
  <si>
    <t>Шар 3</t>
  </si>
  <si>
    <t>Шар 4</t>
  </si>
  <si>
    <t>Шар 5</t>
  </si>
  <si>
    <t>Найбільш розповсюджені будівельні матеріали та їх коеф-ти теплопровідності</t>
  </si>
  <si>
    <t>Мат-л</t>
  </si>
  <si>
    <t>коеф. теплопров. Вт/(м*К)</t>
  </si>
  <si>
    <t>Залізобетон</t>
  </si>
  <si>
    <t>Бетон на гравії, щебні</t>
  </si>
  <si>
    <t>Туфобетон, 1600 кг/м3</t>
  </si>
  <si>
    <t>Товщина, м</t>
  </si>
  <si>
    <t>Коеф-т теплопровідності, Вт/(м*К)</t>
  </si>
  <si>
    <t>рекомендований</t>
  </si>
  <si>
    <t>ввести для розрахунку:</t>
  </si>
  <si>
    <t>базовий вар-т</t>
  </si>
  <si>
    <t>проектний вар-т</t>
  </si>
  <si>
    <t>Пінобетон 1000 кг/м3</t>
  </si>
  <si>
    <t>Пінобетон 600 кг/м3</t>
  </si>
  <si>
    <t>Цегляна кладка (глиняна цегла суцільна)</t>
  </si>
  <si>
    <t>Цегляна кладка (силікатна цегла суцільна)</t>
  </si>
  <si>
    <t>Цегляна кладка (керамічна цегла пустотна 1300 кг/м3)</t>
  </si>
  <si>
    <t>Цегляна кладка (силікатна цегла пустотна 1400 кг/м3)</t>
  </si>
  <si>
    <t>Дерево</t>
  </si>
  <si>
    <t>Фанера</t>
  </si>
  <si>
    <t>Гіпсокартон</t>
  </si>
  <si>
    <t>ДСП, ДВП 800 кг/м3</t>
  </si>
  <si>
    <t>Гравій керамзитний 800 кг/м3</t>
  </si>
  <si>
    <t>Пісок</t>
  </si>
  <si>
    <t>Рубероїд</t>
  </si>
  <si>
    <t>Лінолеум</t>
  </si>
  <si>
    <t>Шифер</t>
  </si>
  <si>
    <t>Бітум будівельний</t>
  </si>
  <si>
    <t>Асфальтобетон</t>
  </si>
  <si>
    <t>Сталь нержавіюча</t>
  </si>
  <si>
    <t>Алюміній</t>
  </si>
  <si>
    <t>Вапняно-пісчаний розчин, штукатурка</t>
  </si>
  <si>
    <t>Картон, шпалери</t>
  </si>
  <si>
    <t>Гіпсова штукатурка</t>
  </si>
  <si>
    <t>Плитка облицювальна</t>
  </si>
  <si>
    <t>Цементно-піщаний розчин</t>
  </si>
  <si>
    <t>Граніт, базальт</t>
  </si>
  <si>
    <t>Мармур</t>
  </si>
  <si>
    <t>Ракушняк</t>
  </si>
  <si>
    <t>Черепиця глиняна</t>
  </si>
  <si>
    <t>Мати мінераловатні прошивні 125 кг/м3</t>
  </si>
  <si>
    <t>Плити мінераловатні 350 кг/м3</t>
  </si>
  <si>
    <t>Плити мінераловатні 300 кг/м3</t>
  </si>
  <si>
    <t>Тепла штукатурка</t>
  </si>
  <si>
    <t>Мембрана ПВХ</t>
  </si>
  <si>
    <t>Пароізоляційна плівка</t>
  </si>
  <si>
    <t>Плити мінераловатні 30-150 кг/м3</t>
  </si>
  <si>
    <t>Плити мінераловатні 175 кг/м3</t>
  </si>
  <si>
    <t>Плити мінераловатні 200-225 кг/м3</t>
  </si>
  <si>
    <t>Плити з скловолокна 10-70 кг/м3</t>
  </si>
  <si>
    <t>Пінополістирол спінений 15-50 кг/м3</t>
  </si>
  <si>
    <t>Пінополістирол екструдований 15-50 кг/м3</t>
  </si>
  <si>
    <t>Жорсткий пінополіуретан 40-80 кг/м3</t>
  </si>
  <si>
    <t>Спінений пінополіетилен 30-50 кг/м3</t>
  </si>
  <si>
    <t>Спінений хімічно зшитий пінополіетилен 30 кг/м3</t>
  </si>
  <si>
    <t>Резольно-формальдегідний пінопласт 40-100 кг/м3</t>
  </si>
  <si>
    <t>Ч.ч.</t>
  </si>
  <si>
    <t>Паркет штучний</t>
  </si>
  <si>
    <t>Паркет дубовий</t>
  </si>
  <si>
    <t>Шар 6-Дод. Ізол-я</t>
  </si>
  <si>
    <t>Зовнішні стіни, дахи, покриття, перекриття над проїздами плоскі та з ребрами при відношенні висоти ребра h до відстані між гранями b сусідніх ребер ≤ 0,3</t>
  </si>
  <si>
    <r>
      <t>α</t>
    </r>
    <r>
      <rPr>
        <vertAlign val="subscript"/>
        <sz val="9"/>
        <rFont val="Times New Roman"/>
        <family val="1"/>
        <charset val="204"/>
      </rPr>
      <t>в</t>
    </r>
  </si>
  <si>
    <r>
      <t>α</t>
    </r>
    <r>
      <rPr>
        <vertAlign val="subscript"/>
        <sz val="9"/>
        <rFont val="Times New Roman"/>
        <family val="1"/>
        <charset val="204"/>
      </rPr>
      <t>з</t>
    </r>
  </si>
  <si>
    <t>Коефіцієнти тепловіддачі, Вт/м2*К</t>
  </si>
  <si>
    <t>внутрішній</t>
  </si>
  <si>
    <t>зовнішній</t>
  </si>
  <si>
    <t>Сумарний термічний опір огороджуючої конструкції, м2*К/Вт</t>
  </si>
  <si>
    <t>Сумарний коефіцієнт теплопередачі через огороджуючу конструкцію, Вт/м2*К</t>
  </si>
  <si>
    <t>Норматив термічного опору огороджуючої конструкції, м2*К/Вт</t>
  </si>
  <si>
    <t>Вид огороджувальної конструкції</t>
  </si>
  <si>
    <t>Зовнішні стінові огороджувальні конструкції</t>
  </si>
  <si>
    <t>Покриття опалюваних горищ (технічних поверхів), мансард,горищні перекриття неопалюваних горищ</t>
  </si>
  <si>
    <t>Перекриття, що межують із зовнішнім повітрям, та над неопалюваними підвалами</t>
  </si>
  <si>
    <t>Світлопрозорі огороджувальні конструкції</t>
  </si>
  <si>
    <t>Зовнішні двері</t>
  </si>
  <si>
    <t>II</t>
  </si>
  <si>
    <r>
      <t xml:space="preserve">Таблиця 1 </t>
    </r>
    <r>
      <rPr>
        <b/>
        <sz val="9"/>
        <rFont val="Calibri"/>
        <family val="2"/>
        <charset val="204"/>
        <scheme val="minor"/>
      </rPr>
      <t xml:space="preserve">- Мінімально допустиме значення приведеного опору теплопередач ОГОрОДЖуваЛЬНОЇ КОНСТРУКЦІЇ ЖИТЛОВИХ Та ГрОМаДСЬКИХ будівель </t>
    </r>
    <r>
      <rPr>
        <sz val="9"/>
        <rFont val="Calibri"/>
        <family val="2"/>
        <charset val="204"/>
        <scheme val="minor"/>
      </rPr>
      <t>Ядтіп</t>
    </r>
  </si>
  <si>
    <r>
      <t xml:space="preserve">Суміщені покриття,що межують </t>
    </r>
    <r>
      <rPr>
        <sz val="9"/>
        <rFont val="Calibri"/>
        <family val="2"/>
        <charset val="204"/>
        <scheme val="minor"/>
      </rPr>
      <t xml:space="preserve">із </t>
    </r>
    <r>
      <rPr>
        <b/>
        <sz val="9"/>
        <rFont val="Calibri"/>
        <family val="2"/>
        <charset val="204"/>
        <scheme val="minor"/>
      </rPr>
      <t>зовнішнім повітрям</t>
    </r>
  </si>
  <si>
    <r>
      <t>Значення Rqmin, м</t>
    </r>
    <r>
      <rPr>
        <b/>
        <vertAlign val="superscript"/>
        <sz val="8"/>
        <rFont val="Calibri"/>
        <family val="2"/>
        <charset val="204"/>
        <scheme val="minor"/>
      </rPr>
      <t>2</t>
    </r>
    <r>
      <rPr>
        <b/>
        <sz val="8"/>
        <rFont val="Calibri"/>
        <family val="2"/>
        <charset val="204"/>
        <scheme val="minor"/>
      </rPr>
      <t xml:space="preserve"> К/Вт, для температурної зони</t>
    </r>
  </si>
  <si>
    <t>ДБН В.2.6-31:2021</t>
  </si>
  <si>
    <t>ДСТУ В.2.6-31:2006</t>
  </si>
  <si>
    <t>Зовнішні стінові огороджувальні конструкції (від зовнішнього до внутрішнього):</t>
  </si>
  <si>
    <t>Шар 7-Дод. Ізол-я</t>
  </si>
  <si>
    <t>Розраховується для:</t>
  </si>
  <si>
    <t>Перекриття неопалюваного горища</t>
  </si>
  <si>
    <t>Дах над опалюваним горищем чи мансардою</t>
  </si>
  <si>
    <t>Шар 8-Дод. Ізол-я</t>
  </si>
  <si>
    <t>Замкнений повітряний прошарок</t>
  </si>
  <si>
    <t>Шар 9-Дод. Ізол-я</t>
  </si>
  <si>
    <t>Перекриття над холодними підвалами та технічними поверхами</t>
  </si>
  <si>
    <t>Вище рівня землі</t>
  </si>
  <si>
    <t>Нижче рівня землі</t>
  </si>
  <si>
    <t>Розраховується для перекриття:</t>
  </si>
  <si>
    <t>ДБН В.2.6-31:2016</t>
  </si>
  <si>
    <t>Склопакет</t>
  </si>
  <si>
    <t>4-16-4І</t>
  </si>
  <si>
    <t>4-16ar-4i</t>
  </si>
  <si>
    <t>4-10-4-10-4</t>
  </si>
  <si>
    <t>4-10-4-10-4І</t>
  </si>
  <si>
    <t>4-10-4-10ar-4i</t>
  </si>
  <si>
    <t>4І-10-4-10-4І</t>
  </si>
  <si>
    <t>4i-10ar-4-10ar-4i</t>
  </si>
  <si>
    <t>4-14-4-14-4</t>
  </si>
  <si>
    <t>4-14-4-14-4І</t>
  </si>
  <si>
    <t>4-14-4-14ar-4i</t>
  </si>
  <si>
    <t>4І-14-4-14-4І</t>
  </si>
  <si>
    <t>4i-14ar-4-14ar-4i</t>
  </si>
  <si>
    <t>4-16-4-16-4</t>
  </si>
  <si>
    <t>4-16-4-16-4І</t>
  </si>
  <si>
    <t>4-16-4-16ar-4i</t>
  </si>
  <si>
    <t>4І-16-4-16-4І</t>
  </si>
  <si>
    <t>4i-16ar-4-16ar-4i</t>
  </si>
  <si>
    <t>WDS 5S</t>
  </si>
  <si>
    <t>алюмінієва рамка</t>
  </si>
  <si>
    <t>тепла рамка</t>
  </si>
  <si>
    <t>WDS 6S</t>
  </si>
  <si>
    <t>WDS 7S</t>
  </si>
  <si>
    <t>WDS 8S</t>
  </si>
  <si>
    <r>
      <t xml:space="preserve">Товщина, </t>
    </r>
    <r>
      <rPr>
        <sz val="8"/>
        <rFont val="Consolas"/>
        <family val="3"/>
        <charset val="204"/>
      </rPr>
      <t>MM</t>
    </r>
  </si>
  <si>
    <r>
      <t xml:space="preserve">Ug </t>
    </r>
    <r>
      <rPr>
        <sz val="8"/>
        <rFont val="Consolas"/>
        <family val="3"/>
        <charset val="204"/>
      </rPr>
      <t>Bt/m2K</t>
    </r>
  </si>
  <si>
    <t>Вікна WDS. Приведений опір теплопеердачі, Вт/м2*К</t>
  </si>
  <si>
    <t>Подвійне скління в спарених плетіннях</t>
  </si>
  <si>
    <t>Подвійне скління в окремих плетіннях</t>
  </si>
  <si>
    <t>Потрійне скління в роздільно-спарених плетіннях</t>
  </si>
  <si>
    <t>Блоки скляні пустотні із шириною швів між ними 6 мм</t>
  </si>
  <si>
    <t>Склопакет 4-16ar-4i</t>
  </si>
  <si>
    <t>Склопакет 4-10-4-10-4</t>
  </si>
  <si>
    <t>Склопакет 4-10-4-10ar-4i</t>
  </si>
  <si>
    <t>Склопакет 4i-10ar-4-10ar-4i</t>
  </si>
  <si>
    <t>Склопакет 4-14-4-14-4</t>
  </si>
  <si>
    <t>Склопакет 4-14-4-14ar-4i</t>
  </si>
  <si>
    <t>Склопакет 4i-14ar-4-14ar-4i</t>
  </si>
  <si>
    <t>Склопакет 4-16-4-16-4</t>
  </si>
  <si>
    <t>Склопакет 4-16-4-16ar-4i</t>
  </si>
  <si>
    <t>Склопакет 4i-16ar-4-16ar-4i</t>
  </si>
  <si>
    <t>Склопакет 4-16-4i</t>
  </si>
  <si>
    <t>Склопакет 4-10-4-10-4i</t>
  </si>
  <si>
    <t>Склопакет 4i-10-4-10-4i</t>
  </si>
  <si>
    <t>Склопакет 4-14-4-14-4i</t>
  </si>
  <si>
    <t>Склопакет 4i-14-4-14-4i</t>
  </si>
  <si>
    <t>Склопакет 4-16-4-16-4i</t>
  </si>
  <si>
    <t>Склопакет 4i-16-4-16-4i</t>
  </si>
  <si>
    <t>БАЗОВИЙ варіант</t>
  </si>
  <si>
    <t>ПРОЕКТНИЙ варіант</t>
  </si>
  <si>
    <t>Вибрати тип вікна:</t>
  </si>
  <si>
    <t>Приведений опір теплопередачі, Вт/м2*К</t>
  </si>
  <si>
    <t>БАЗОВИЙ вар-т</t>
  </si>
  <si>
    <t>ПРОЕКТНИЙ вар-т</t>
  </si>
  <si>
    <t>БАЗОВИЙ</t>
  </si>
  <si>
    <t>ПРОЕКТНИЙ</t>
  </si>
  <si>
    <t>Температурна зона:</t>
  </si>
  <si>
    <t>Сонячна радіація</t>
  </si>
  <si>
    <r>
      <t xml:space="preserve">Середня температура опалювального сезону, </t>
    </r>
    <r>
      <rPr>
        <sz val="8"/>
        <color theme="1"/>
        <rFont val="Calibri"/>
        <family val="2"/>
        <charset val="204"/>
      </rPr>
      <t>°</t>
    </r>
    <r>
      <rPr>
        <sz val="8"/>
        <color theme="1"/>
        <rFont val="Calibri"/>
        <family val="2"/>
        <charset val="204"/>
        <scheme val="minor"/>
      </rPr>
      <t>С</t>
    </r>
  </si>
  <si>
    <t>МІСТО</t>
  </si>
  <si>
    <t>ДСТУ-Н Б В.1.1-27:2010   БУДІВЕЛЬНА КЛІМАТОЛОГІЯ</t>
  </si>
  <si>
    <t>Тривалість опалювального сезону, діб</t>
  </si>
  <si>
    <r>
      <t xml:space="preserve">Температура для проектування опалення (найбільш холодної пятиденки),  </t>
    </r>
    <r>
      <rPr>
        <sz val="8"/>
        <color theme="1"/>
        <rFont val="Calibri"/>
        <family val="2"/>
        <charset val="204"/>
      </rPr>
      <t>°</t>
    </r>
    <r>
      <rPr>
        <sz val="8"/>
        <color theme="1"/>
        <rFont val="Calibri"/>
        <family val="2"/>
        <charset val="204"/>
        <scheme val="minor"/>
      </rPr>
      <t>С</t>
    </r>
  </si>
  <si>
    <t>Час перебування людей або кількість робочих годин на день, год</t>
  </si>
  <si>
    <t>Середня площа вікна, м2</t>
  </si>
  <si>
    <t>Варіант опалення:</t>
  </si>
  <si>
    <t>Опалює стороння організація за певним тарифом на теплову енергію</t>
  </si>
  <si>
    <t>Власна котельня</t>
  </si>
  <si>
    <t>ВАРІАНТИ   ОПАЛЕННЯ:</t>
  </si>
  <si>
    <t>ВАРІАНТИ   ПАЛИВ:</t>
  </si>
  <si>
    <t>Природний газ</t>
  </si>
  <si>
    <t>Вугілля</t>
  </si>
  <si>
    <t>Електроопалення</t>
  </si>
  <si>
    <t>Вид палива:</t>
  </si>
  <si>
    <t>Середня т-ра зовніш. повітря в опалювальний сезон, °С</t>
  </si>
  <si>
    <t>Вибрати місто із списку:</t>
  </si>
  <si>
    <t>Тривалість опалення, діб</t>
  </si>
  <si>
    <t>Втрати в теплових мережах, % до поданої ТЕ</t>
  </si>
  <si>
    <t>РОЗРАХУНОК  ВИТРАТ ТЕПЛОВОЇ  ЕНЕРГІЇ НА ОПАЛЕННЯ  БУДІВЛІ</t>
  </si>
  <si>
    <t>Дрова</t>
  </si>
  <si>
    <t>Деревна тріска вол.40%</t>
  </si>
  <si>
    <t>Солома зернових вол. 15%</t>
  </si>
  <si>
    <t>Деревні пелети (вологість 10%, зольність 0,5 %)</t>
  </si>
  <si>
    <t>Пелети з соломи</t>
  </si>
  <si>
    <t>Пелети з лушпиння соняшника</t>
  </si>
  <si>
    <t>Тепловміст, МДж/кг (МДж/м3, МДж/кВт*год)</t>
  </si>
  <si>
    <t>Питомі викиди ПГ, тСО2екв/МВт*год</t>
  </si>
  <si>
    <t>КАК РАЗРАБОТАТЬ «ПЛАН ДЕЙСТВИЙ ПО УСТОЙЧИВОМУ ЭНЕРГЕТИЧЕСКОМУ РАЗВИТИЮ» (ПДУЭР) В ГОРОДАХ ВОСТОЧНОГО ПАРТНЕРСТВА И ЦЕНТРАЛЬНОЙ АЗИИ -
РУКОВОДСТВО ЧАСТЬ II.</t>
  </si>
  <si>
    <t>Довжина, м</t>
  </si>
  <si>
    <r>
      <t>Коефіцієнт, що враховує додаткове теплоспоживання системою опалення, пов'язане з дискретністю  номінального  теплового  потоку  номенклатурного  ряду  опалювальних  приладів  і додатковими тепловтратами через зарадіаторні ділянки огороджень, тепловтратами трубопроводів, що проходять через неопалювані приміщення</t>
    </r>
    <r>
      <rPr>
        <b/>
        <sz val="9"/>
        <color theme="1"/>
        <rFont val="Calibri"/>
        <family val="2"/>
        <charset val="204"/>
        <scheme val="minor"/>
      </rPr>
      <t>:</t>
    </r>
  </si>
  <si>
    <t xml:space="preserve"> -заміну  вікон</t>
  </si>
  <si>
    <t>Всього</t>
  </si>
  <si>
    <t>Інші витрати, тис. грн</t>
  </si>
  <si>
    <t>Витрати на розроблення та погодження ПКД, авторський та технічний нагляд, тис. грн</t>
  </si>
  <si>
    <t>ПДВ, тис. грн</t>
  </si>
  <si>
    <t>ВСЬОГО,тис. грн без ПДВ</t>
  </si>
  <si>
    <t>Простий строк окупності, років</t>
  </si>
  <si>
    <t>Рік від початку проекту</t>
  </si>
  <si>
    <t>Фактор дисконтування</t>
  </si>
  <si>
    <t>Дисконтований термін окупонсті, років</t>
  </si>
  <si>
    <t>ЕКОНОМІЧНІ ПОКАЗНИКИ</t>
  </si>
  <si>
    <t>Чиста приведена вартість (NPV)</t>
  </si>
  <si>
    <t>Внутрішня норма рентабельності (IRR)</t>
  </si>
  <si>
    <t>Дисконтований строк окупності, років</t>
  </si>
  <si>
    <t>Грошовий потік, тис. грн</t>
  </si>
  <si>
    <t>Гроші на рахунку, тис. грн</t>
  </si>
  <si>
    <t>Грошовий потік з урахуванням дисконту, тис. грн</t>
  </si>
  <si>
    <t>Гроші на рахунку з урахуванням дисконту, тис. грн</t>
  </si>
  <si>
    <t>тис. грн</t>
  </si>
  <si>
    <t>Сума капітальних витрат (без ПДВ), тис. грн</t>
  </si>
  <si>
    <t>Чистий прибуток, тис. грн без ПДВ</t>
  </si>
  <si>
    <t>Строк життя проекту, років</t>
  </si>
  <si>
    <t>Ставка дисконтування, %</t>
  </si>
  <si>
    <t>років</t>
  </si>
  <si>
    <t>Наймен.</t>
  </si>
  <si>
    <t>Чиста приведена вартість (NPV), тис. грн</t>
  </si>
  <si>
    <t>Внутрішня норма рентабельності (IRR), %</t>
  </si>
  <si>
    <t>Для варіанту опалення сторонньою організацією: тариф на ТЕ, грн/Гкал без ПДВ</t>
  </si>
  <si>
    <t>Витрати на опалення, тис.грн/рік, з ПДВ</t>
  </si>
  <si>
    <t>https://saee.gov.ua/uk/content/serednozvazheni-taryfy</t>
  </si>
  <si>
    <t>Середньозважені тарифи від 23.09.2022</t>
  </si>
  <si>
    <t>РЕЗУЛЬТАТ:</t>
  </si>
  <si>
    <r>
      <t xml:space="preserve">Коефіцієнти теплопередачі, Вт/(м2*К):
</t>
    </r>
    <r>
      <rPr>
        <sz val="11"/>
        <color theme="1"/>
        <rFont val="Calibri"/>
        <family val="2"/>
        <charset val="204"/>
        <scheme val="minor"/>
      </rPr>
      <t>(для коригування перейти за посиланням у відповідній клітинці праворуч)</t>
    </r>
  </si>
  <si>
    <t>Частка (паливо 1), %</t>
  </si>
  <si>
    <t>Частка (паливо 2), %</t>
  </si>
  <si>
    <t>ККД котлів (Паливо 1), %</t>
  </si>
  <si>
    <t>ККД котлів (Паливо 2), %</t>
  </si>
  <si>
    <t>Ціна палива  (Паливо 1), без ПДВ</t>
  </si>
  <si>
    <t>Ціна палива  (Паливо 2),  без ПДВ</t>
  </si>
  <si>
    <t>Також, для населення, див.:</t>
  </si>
  <si>
    <t>https://www.minregion.gov.ua/wp-content/uploads/2022/02/taryfy-na-poslugu-z-teplopostachannya-na-01.01.2022.xlsx</t>
  </si>
  <si>
    <t>Що означає колір клітинок та шрифту:</t>
  </si>
  <si>
    <t>-клітинка містить основні початкові дані (міняти обов'язково)</t>
  </si>
  <si>
    <t>-клітинка містить результати розрахунків (НЕ міняти)</t>
  </si>
  <si>
    <t>стіни</t>
  </si>
  <si>
    <t>-клітинка містить посилання для переходу до уточнення та введення даних на іншому листі</t>
  </si>
  <si>
    <t>ВВЕДЕННЯ ДАНИХ:</t>
  </si>
  <si>
    <t>Ширина, м</t>
  </si>
  <si>
    <t>Висота, м</t>
  </si>
  <si>
    <t>Для будівель простих геометричних форм можна скористатись схемою (розміри вводити у виділені клітинки)</t>
  </si>
  <si>
    <t>ВИТРАТИ</t>
  </si>
  <si>
    <t>Економія, тис. грн/рік з ПДВ</t>
  </si>
  <si>
    <t xml:space="preserve"> - підлоги нижнього поверху </t>
  </si>
  <si>
    <t xml:space="preserve"> - стін, цоколя</t>
  </si>
  <si>
    <t>Нижча теплота згоряння палива, МДж/кг (МДж/м3, МДж/кВт*год для електроопалення)</t>
  </si>
  <si>
    <t>-клітинка містить прийняте значення, що не міняється</t>
  </si>
  <si>
    <t>-клітинка містить список, що розкривається  (розкрити список та вибрати потрібне значення)</t>
  </si>
  <si>
    <t>Економія за строк життя проекту, грн на 1 грн витрат (без дисконтування)</t>
  </si>
  <si>
    <t>Розрахункові витрати теплової енергії на опалення Qрік, МВт*год</t>
  </si>
  <si>
    <t>Загальні  тепловтрати   через  огороджувальну  оболонку  будинку,  МВт*год</t>
  </si>
  <si>
    <t>Приведений коефіцієнт теплопередачі теплоізоляційної оболонки будинку, Вт/(м2⋅К)</t>
  </si>
  <si>
    <t>Умовний коефіцієнт теплопередачі огороджувальних конструкцій будинку, Вт/(м2·К), що враховує тепловтрати за рахунок інфільтрації та вентиляції</t>
  </si>
  <si>
    <t>Теплові надходження через вікна від сонячної радіації протягом опалювального періоду</t>
  </si>
  <si>
    <t>Коефіцієнт  відносного  проникнення  сонячної  радіації</t>
  </si>
  <si>
    <t>Коефіцієнт, що враховує затінення світлового прорізу вікон</t>
  </si>
  <si>
    <t>Коефіцієнт, що враховує здатність  огороджувальних конструкцій приміщень будинків акумулювати або віддавати тепло</t>
  </si>
  <si>
    <t>Скорочення викидів парникових газів, т СО2-екв/рік</t>
  </si>
  <si>
    <t>Питоме скорочення викидів парникових газів за строк життя проекту, кг СО2-екв/1000 грн витрат</t>
  </si>
  <si>
    <t>-клітинка містить другорядні початкові дані (можна міняти, якщо відоме краще значення)</t>
  </si>
  <si>
    <t>Прямі витрати на утеплення, тис. грн без ПДВ (на основі розцінок 2019-2021 р.р.):</t>
  </si>
  <si>
    <t>див. тарифи для населення та бюджетних установ тут</t>
  </si>
  <si>
    <t>Сумарний коефіцієнт теплопередачі через огороджуючу конструкцію з урах.теплопров.включень (за ДСТУ Б А.2.2-12), Вт/м2*К</t>
  </si>
  <si>
    <t>Ввести дані щодо власної котельні чи орієнтовні дані для котельні ЦТ</t>
  </si>
  <si>
    <t>Об'єм будівлі за зовнішнім виміром, м3</t>
  </si>
  <si>
    <t>Повна площа огороджувальних конструкцій, м2</t>
  </si>
  <si>
    <t>Врахувати витрати: 1- Так, 0- Ні</t>
  </si>
  <si>
    <t>Всього витрат, з ПДВ</t>
  </si>
  <si>
    <t>тис.грн</t>
  </si>
  <si>
    <t>Євро</t>
  </si>
  <si>
    <t>Обмінний курс Грн/Євро</t>
  </si>
  <si>
    <t>Підказка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</si>
</sst>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#,##0.0000"/>
    <numFmt numFmtId="167" formatCode="0.0%"/>
    <numFmt numFmtId="168" formatCode="#,##0.0"/>
    <numFmt numFmtId="169" formatCode="#,##0_ ;[Red]\-#,##0\ 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.5"/>
      <name val="Calibri"/>
      <family val="2"/>
      <charset val="204"/>
      <scheme val="minor"/>
    </font>
    <font>
      <sz val="8"/>
      <color theme="8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vertAlign val="subscript"/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8" tint="-0.249977111117893"/>
      <name val="Calibri"/>
      <family val="2"/>
      <charset val="204"/>
      <scheme val="minor"/>
    </font>
    <font>
      <b/>
      <sz val="9"/>
      <color theme="8" tint="-0.24997711111789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perscript"/>
      <sz val="8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8"/>
      <name val="Consolas"/>
      <family val="3"/>
      <charset val="204"/>
    </font>
    <font>
      <sz val="8"/>
      <color theme="1"/>
      <name val="Calibri"/>
      <family val="2"/>
      <charset val="204"/>
    </font>
    <font>
      <u/>
      <sz val="8"/>
      <color indexed="12"/>
      <name val="Arial Cyr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u/>
      <sz val="10"/>
      <color indexed="12"/>
      <name val="Arial Cyr"/>
      <charset val="204"/>
    </font>
    <font>
      <b/>
      <sz val="10"/>
      <color rgb="FF333333"/>
      <name val="Verdana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8"/>
      <color rgb="FF002060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1"/>
      <color indexed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b/>
      <sz val="8"/>
      <color rgb="FF0033CC"/>
      <name val="Calibri"/>
      <family val="2"/>
      <charset val="204"/>
      <scheme val="minor"/>
    </font>
    <font>
      <sz val="10"/>
      <color rgb="FF0033CC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rgb="FF000099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0" fontId="32" fillId="0" borderId="0"/>
  </cellStyleXfs>
  <cellXfs count="284">
    <xf numFmtId="0" fontId="0" fillId="0" borderId="0" xfId="0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4" borderId="4" xfId="0" applyFont="1" applyFill="1" applyBorder="1"/>
    <xf numFmtId="1" fontId="13" fillId="0" borderId="17" xfId="5" applyNumberFormat="1" applyFont="1" applyFill="1" applyBorder="1" applyAlignment="1" applyProtection="1">
      <alignment horizontal="center" vertical="top"/>
    </xf>
    <xf numFmtId="2" fontId="14" fillId="4" borderId="4" xfId="0" applyNumberFormat="1" applyFont="1" applyFill="1" applyBorder="1"/>
    <xf numFmtId="0" fontId="6" fillId="0" borderId="0" xfId="0" applyFont="1" applyAlignment="1">
      <alignment wrapText="1"/>
    </xf>
    <xf numFmtId="0" fontId="8" fillId="4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6" fillId="9" borderId="0" xfId="0" applyFont="1" applyFill="1" applyAlignment="1">
      <alignment wrapText="1"/>
    </xf>
    <xf numFmtId="0" fontId="6" fillId="0" borderId="4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22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164" fontId="23" fillId="0" borderId="6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164" fontId="23" fillId="0" borderId="0" xfId="0" applyNumberFormat="1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164" fontId="23" fillId="10" borderId="6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6" fillId="11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8" fillId="0" borderId="4" xfId="4" applyNumberFormat="1" applyFont="1" applyFill="1" applyBorder="1" applyAlignment="1" applyProtection="1">
      <alignment horizontal="center" vertical="top" wrapText="1"/>
    </xf>
    <xf numFmtId="0" fontId="18" fillId="0" borderId="4" xfId="4" applyNumberFormat="1" applyFont="1" applyFill="1" applyBorder="1" applyAlignment="1" applyProtection="1">
      <alignment vertical="top" wrapText="1"/>
    </xf>
    <xf numFmtId="2" fontId="13" fillId="0" borderId="17" xfId="5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horizontal="center" wrapText="1"/>
    </xf>
    <xf numFmtId="0" fontId="18" fillId="0" borderId="12" xfId="4" applyNumberFormat="1" applyFont="1" applyFill="1" applyBorder="1" applyAlignment="1" applyProtection="1">
      <alignment horizontal="center" vertical="top" wrapText="1"/>
    </xf>
    <xf numFmtId="2" fontId="13" fillId="0" borderId="4" xfId="5" applyNumberFormat="1" applyFont="1" applyFill="1" applyBorder="1" applyAlignment="1" applyProtection="1">
      <alignment horizontal="center" vertical="top"/>
    </xf>
    <xf numFmtId="0" fontId="6" fillId="0" borderId="12" xfId="0" applyFont="1" applyBorder="1" applyAlignment="1">
      <alignment wrapText="1"/>
    </xf>
    <xf numFmtId="0" fontId="19" fillId="0" borderId="15" xfId="0" applyFont="1" applyBorder="1" applyAlignment="1">
      <alignment horizontal="center" wrapText="1"/>
    </xf>
    <xf numFmtId="0" fontId="8" fillId="9" borderId="2" xfId="0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8" fillId="6" borderId="4" xfId="0" applyFont="1" applyFill="1" applyBorder="1"/>
    <xf numFmtId="2" fontId="14" fillId="6" borderId="4" xfId="0" applyNumberFormat="1" applyFont="1" applyFill="1" applyBorder="1"/>
    <xf numFmtId="0" fontId="8" fillId="4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0" fillId="0" borderId="0" xfId="2" applyFont="1" applyAlignment="1" applyProtection="1"/>
    <xf numFmtId="0" fontId="34" fillId="0" borderId="0" xfId="1" applyFont="1"/>
    <xf numFmtId="0" fontId="33" fillId="13" borderId="0" xfId="1" applyFont="1" applyFill="1" applyBorder="1" applyAlignment="1">
      <alignment horizontal="center" vertical="center"/>
    </xf>
    <xf numFmtId="0" fontId="33" fillId="13" borderId="0" xfId="1" applyFont="1" applyFill="1" applyBorder="1" applyAlignment="1">
      <alignment horizontal="center" vertical="center" wrapText="1"/>
    </xf>
    <xf numFmtId="0" fontId="35" fillId="13" borderId="0" xfId="1" applyFont="1" applyFill="1" applyBorder="1" applyAlignment="1">
      <alignment horizontal="left" vertical="center"/>
    </xf>
    <xf numFmtId="0" fontId="37" fillId="15" borderId="25" xfId="1" applyFont="1" applyFill="1" applyBorder="1" applyAlignment="1">
      <alignment horizontal="center" vertical="center"/>
    </xf>
    <xf numFmtId="0" fontId="37" fillId="15" borderId="4" xfId="1" applyFont="1" applyFill="1" applyBorder="1" applyAlignment="1">
      <alignment horizontal="center" vertical="center"/>
    </xf>
    <xf numFmtId="0" fontId="37" fillId="15" borderId="24" xfId="1" applyFont="1" applyFill="1" applyBorder="1" applyAlignment="1">
      <alignment horizontal="center" vertical="center"/>
    </xf>
    <xf numFmtId="0" fontId="24" fillId="16" borderId="28" xfId="1" applyFont="1" applyFill="1" applyBorder="1" applyAlignment="1">
      <alignment vertical="top" wrapText="1"/>
    </xf>
    <xf numFmtId="3" fontId="25" fillId="16" borderId="25" xfId="1" applyNumberFormat="1" applyFont="1" applyFill="1" applyBorder="1" applyAlignment="1">
      <alignment horizontal="right" vertical="center"/>
    </xf>
    <xf numFmtId="3" fontId="24" fillId="16" borderId="4" xfId="1" applyNumberFormat="1" applyFont="1" applyFill="1" applyBorder="1" applyAlignment="1">
      <alignment horizontal="right" vertical="center"/>
    </xf>
    <xf numFmtId="3" fontId="24" fillId="16" borderId="24" xfId="1" applyNumberFormat="1" applyFont="1" applyFill="1" applyBorder="1" applyAlignment="1">
      <alignment horizontal="right" vertical="center"/>
    </xf>
    <xf numFmtId="3" fontId="24" fillId="16" borderId="25" xfId="1" applyNumberFormat="1" applyFont="1" applyFill="1" applyBorder="1" applyAlignment="1">
      <alignment horizontal="right" vertical="center"/>
    </xf>
    <xf numFmtId="3" fontId="25" fillId="16" borderId="4" xfId="1" applyNumberFormat="1" applyFont="1" applyFill="1" applyBorder="1" applyAlignment="1">
      <alignment horizontal="right" vertical="center"/>
    </xf>
    <xf numFmtId="3" fontId="25" fillId="16" borderId="24" xfId="1" applyNumberFormat="1" applyFont="1" applyFill="1" applyBorder="1" applyAlignment="1">
      <alignment horizontal="right" vertical="center"/>
    </xf>
    <xf numFmtId="0" fontId="24" fillId="15" borderId="28" xfId="1" applyFont="1" applyFill="1" applyBorder="1" applyAlignment="1">
      <alignment vertical="top"/>
    </xf>
    <xf numFmtId="2" fontId="24" fillId="15" borderId="25" xfId="1" applyNumberFormat="1" applyFont="1" applyFill="1" applyBorder="1" applyAlignment="1">
      <alignment horizontal="center" vertical="center"/>
    </xf>
    <xf numFmtId="2" fontId="25" fillId="15" borderId="4" xfId="1" applyNumberFormat="1" applyFont="1" applyFill="1" applyBorder="1" applyAlignment="1">
      <alignment horizontal="right" vertical="center"/>
    </xf>
    <xf numFmtId="2" fontId="25" fillId="15" borderId="24" xfId="1" applyNumberFormat="1" applyFont="1" applyFill="1" applyBorder="1" applyAlignment="1">
      <alignment horizontal="right" vertical="center"/>
    </xf>
    <xf numFmtId="2" fontId="25" fillId="15" borderId="4" xfId="1" applyNumberFormat="1" applyFont="1" applyFill="1" applyBorder="1" applyAlignment="1">
      <alignment horizontal="center" vertical="center"/>
    </xf>
    <xf numFmtId="2" fontId="25" fillId="15" borderId="24" xfId="1" applyNumberFormat="1" applyFont="1" applyFill="1" applyBorder="1" applyAlignment="1">
      <alignment horizontal="center" vertical="center"/>
    </xf>
    <xf numFmtId="0" fontId="24" fillId="16" borderId="28" xfId="1" applyFont="1" applyFill="1" applyBorder="1" applyAlignment="1">
      <alignment vertical="justify"/>
    </xf>
    <xf numFmtId="0" fontId="24" fillId="16" borderId="25" xfId="1" applyFont="1" applyFill="1" applyBorder="1" applyAlignment="1">
      <alignment horizontal="right" vertical="center"/>
    </xf>
    <xf numFmtId="164" fontId="24" fillId="16" borderId="4" xfId="1" applyNumberFormat="1" applyFont="1" applyFill="1" applyBorder="1" applyAlignment="1">
      <alignment horizontal="right" vertical="center"/>
    </xf>
    <xf numFmtId="0" fontId="24" fillId="16" borderId="28" xfId="1" applyFont="1" applyFill="1" applyBorder="1" applyAlignment="1">
      <alignment vertical="justify" wrapText="1"/>
    </xf>
    <xf numFmtId="1" fontId="24" fillId="16" borderId="4" xfId="1" applyNumberFormat="1" applyFont="1" applyFill="1" applyBorder="1" applyAlignment="1">
      <alignment horizontal="right" vertical="center"/>
    </xf>
    <xf numFmtId="1" fontId="24" fillId="16" borderId="24" xfId="1" applyNumberFormat="1" applyFont="1" applyFill="1" applyBorder="1" applyAlignment="1">
      <alignment horizontal="right" vertical="center"/>
    </xf>
    <xf numFmtId="0" fontId="24" fillId="15" borderId="28" xfId="1" applyFont="1" applyFill="1" applyBorder="1" applyAlignment="1">
      <alignment vertical="justify"/>
    </xf>
    <xf numFmtId="0" fontId="25" fillId="15" borderId="25" xfId="1" applyFont="1" applyFill="1" applyBorder="1" applyAlignment="1">
      <alignment horizontal="center" vertical="center"/>
    </xf>
    <xf numFmtId="0" fontId="24" fillId="15" borderId="33" xfId="1" applyFont="1" applyFill="1" applyBorder="1" applyAlignment="1">
      <alignment vertical="justify"/>
    </xf>
    <xf numFmtId="0" fontId="25" fillId="15" borderId="31" xfId="1" applyFont="1" applyFill="1" applyBorder="1" applyAlignment="1">
      <alignment horizontal="center" vertical="center"/>
    </xf>
    <xf numFmtId="2" fontId="25" fillId="15" borderId="21" xfId="1" applyNumberFormat="1" applyFont="1" applyFill="1" applyBorder="1" applyAlignment="1">
      <alignment horizontal="center" vertical="center"/>
    </xf>
    <xf numFmtId="2" fontId="25" fillId="15" borderId="32" xfId="1" applyNumberFormat="1" applyFont="1" applyFill="1" applyBorder="1" applyAlignment="1">
      <alignment horizontal="center" vertical="center"/>
    </xf>
    <xf numFmtId="0" fontId="37" fillId="13" borderId="26" xfId="1" applyFont="1" applyFill="1" applyBorder="1" applyAlignment="1">
      <alignment horizontal="left" vertical="top"/>
    </xf>
    <xf numFmtId="0" fontId="24" fillId="13" borderId="0" xfId="1" applyFont="1" applyFill="1" applyBorder="1" applyAlignment="1">
      <alignment horizontal="left" vertical="top"/>
    </xf>
    <xf numFmtId="0" fontId="24" fillId="0" borderId="0" xfId="1" applyFont="1"/>
    <xf numFmtId="0" fontId="25" fillId="14" borderId="4" xfId="1" applyFont="1" applyFill="1" applyBorder="1" applyAlignment="1">
      <alignment vertical="top" wrapText="1"/>
    </xf>
    <xf numFmtId="169" fontId="25" fillId="14" borderId="4" xfId="1" applyNumberFormat="1" applyFont="1" applyFill="1" applyBorder="1" applyAlignment="1">
      <alignment horizontal="right" vertical="center"/>
    </xf>
    <xf numFmtId="3" fontId="25" fillId="14" borderId="4" xfId="1" applyNumberFormat="1" applyFont="1" applyFill="1" applyBorder="1" applyAlignment="1">
      <alignment horizontal="left" vertical="center"/>
    </xf>
    <xf numFmtId="1" fontId="25" fillId="13" borderId="0" xfId="1" applyNumberFormat="1" applyFont="1" applyFill="1" applyBorder="1" applyAlignment="1">
      <alignment vertical="center"/>
    </xf>
    <xf numFmtId="3" fontId="25" fillId="13" borderId="0" xfId="1" applyNumberFormat="1" applyFont="1" applyFill="1" applyBorder="1" applyAlignment="1">
      <alignment vertical="center"/>
    </xf>
    <xf numFmtId="0" fontId="24" fillId="13" borderId="0" xfId="1" applyFont="1" applyFill="1" applyBorder="1" applyAlignment="1">
      <alignment vertical="top"/>
    </xf>
    <xf numFmtId="0" fontId="24" fillId="13" borderId="0" xfId="1" applyFont="1" applyFill="1" applyBorder="1"/>
    <xf numFmtId="0" fontId="25" fillId="14" borderId="4" xfId="1" applyFont="1" applyFill="1" applyBorder="1" applyAlignment="1">
      <alignment vertical="justify"/>
    </xf>
    <xf numFmtId="167" fontId="25" fillId="14" borderId="4" xfId="1" applyNumberFormat="1" applyFont="1" applyFill="1" applyBorder="1" applyAlignment="1">
      <alignment horizontal="right" vertical="center"/>
    </xf>
    <xf numFmtId="0" fontId="25" fillId="14" borderId="4" xfId="1" applyFont="1" applyFill="1" applyBorder="1" applyAlignment="1">
      <alignment horizontal="left" vertical="center"/>
    </xf>
    <xf numFmtId="165" fontId="25" fillId="14" borderId="4" xfId="1" applyNumberFormat="1" applyFont="1" applyFill="1" applyBorder="1" applyAlignment="1">
      <alignment horizontal="right" vertical="center"/>
    </xf>
    <xf numFmtId="2" fontId="25" fillId="14" borderId="4" xfId="1" applyNumberFormat="1" applyFont="1" applyFill="1" applyBorder="1" applyAlignment="1">
      <alignment horizontal="right" vertical="center"/>
    </xf>
    <xf numFmtId="0" fontId="4" fillId="0" borderId="0" xfId="2" applyAlignment="1" applyProtection="1"/>
    <xf numFmtId="0" fontId="38" fillId="0" borderId="0" xfId="2" applyFont="1" applyAlignment="1" applyProtection="1"/>
    <xf numFmtId="0" fontId="39" fillId="0" borderId="0" xfId="0" applyFont="1"/>
    <xf numFmtId="0" fontId="0" fillId="0" borderId="0" xfId="0" applyFont="1" applyAlignment="1">
      <alignment wrapText="1"/>
    </xf>
    <xf numFmtId="0" fontId="40" fillId="5" borderId="4" xfId="2" applyFont="1" applyFill="1" applyBorder="1" applyAlignment="1" applyProtection="1">
      <alignment horizontal="center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3" fontId="41" fillId="0" borderId="0" xfId="0" applyNumberFormat="1" applyFont="1" applyBorder="1" applyAlignment="1">
      <alignment horizontal="center" wrapText="1"/>
    </xf>
    <xf numFmtId="0" fontId="0" fillId="0" borderId="0" xfId="0" quotePrefix="1" applyFont="1" applyAlignment="1"/>
    <xf numFmtId="9" fontId="1" fillId="3" borderId="4" xfId="6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36" fillId="12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wrapText="1"/>
    </xf>
    <xf numFmtId="0" fontId="36" fillId="12" borderId="12" xfId="0" applyFont="1" applyFill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43" fillId="0" borderId="10" xfId="0" applyFont="1" applyBorder="1" applyAlignment="1">
      <alignment wrapText="1"/>
    </xf>
    <xf numFmtId="0" fontId="43" fillId="0" borderId="14" xfId="0" applyFont="1" applyBorder="1" applyAlignment="1">
      <alignment vertical="top" wrapText="1"/>
    </xf>
    <xf numFmtId="0" fontId="45" fillId="3" borderId="4" xfId="0" applyFont="1" applyFill="1" applyBorder="1" applyAlignment="1">
      <alignment horizontal="center" wrapText="1"/>
    </xf>
    <xf numFmtId="0" fontId="45" fillId="0" borderId="4" xfId="0" applyFont="1" applyBorder="1" applyAlignment="1">
      <alignment horizontal="center" wrapText="1"/>
    </xf>
    <xf numFmtId="0" fontId="21" fillId="19" borderId="4" xfId="0" applyFont="1" applyFill="1" applyBorder="1" applyAlignment="1">
      <alignment wrapText="1"/>
    </xf>
    <xf numFmtId="0" fontId="8" fillId="0" borderId="38" xfId="0" applyFont="1" applyBorder="1" applyAlignment="1">
      <alignment wrapText="1"/>
    </xf>
    <xf numFmtId="167" fontId="42" fillId="3" borderId="11" xfId="6" applyNumberFormat="1" applyFont="1" applyFill="1" applyBorder="1" applyAlignment="1" applyProtection="1">
      <alignment wrapText="1"/>
    </xf>
    <xf numFmtId="0" fontId="17" fillId="0" borderId="15" xfId="2" applyFont="1" applyFill="1" applyBorder="1" applyAlignment="1" applyProtection="1">
      <alignment wrapText="1"/>
    </xf>
    <xf numFmtId="0" fontId="17" fillId="0" borderId="3" xfId="2" applyFont="1" applyFill="1" applyBorder="1" applyAlignment="1" applyProtection="1">
      <alignment wrapText="1"/>
    </xf>
    <xf numFmtId="0" fontId="40" fillId="2" borderId="6" xfId="2" applyFont="1" applyFill="1" applyBorder="1" applyAlignment="1" applyProtection="1"/>
    <xf numFmtId="0" fontId="42" fillId="2" borderId="6" xfId="2" applyFont="1" applyFill="1" applyBorder="1" applyAlignment="1" applyProtection="1">
      <alignment wrapText="1"/>
    </xf>
    <xf numFmtId="0" fontId="47" fillId="0" borderId="4" xfId="0" applyFont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165" fontId="1" fillId="3" borderId="12" xfId="6" applyNumberFormat="1" applyFont="1" applyFill="1" applyBorder="1" applyAlignment="1">
      <alignment horizontal="center" wrapText="1"/>
    </xf>
    <xf numFmtId="0" fontId="48" fillId="0" borderId="39" xfId="0" applyFont="1" applyBorder="1" applyAlignment="1">
      <alignment horizontal="center" wrapText="1"/>
    </xf>
    <xf numFmtId="0" fontId="48" fillId="0" borderId="21" xfId="0" applyFont="1" applyBorder="1" applyAlignment="1">
      <alignment horizontal="center" wrapText="1"/>
    </xf>
    <xf numFmtId="0" fontId="48" fillId="0" borderId="32" xfId="1" applyFont="1" applyFill="1" applyBorder="1" applyAlignment="1">
      <alignment horizontal="center" wrapText="1"/>
    </xf>
    <xf numFmtId="0" fontId="49" fillId="0" borderId="4" xfId="0" applyFont="1" applyBorder="1" applyAlignment="1">
      <alignment horizontal="center" wrapText="1"/>
    </xf>
    <xf numFmtId="167" fontId="50" fillId="0" borderId="4" xfId="6" applyNumberFormat="1" applyFont="1" applyFill="1" applyBorder="1" applyAlignment="1" applyProtection="1">
      <alignment wrapText="1"/>
    </xf>
    <xf numFmtId="164" fontId="49" fillId="0" borderId="4" xfId="0" applyNumberFormat="1" applyFont="1" applyBorder="1" applyAlignment="1">
      <alignment horizontal="center" wrapText="1"/>
    </xf>
    <xf numFmtId="2" fontId="49" fillId="0" borderId="4" xfId="0" applyNumberFormat="1" applyFont="1" applyBorder="1" applyAlignment="1">
      <alignment horizontal="center" wrapText="1"/>
    </xf>
    <xf numFmtId="2" fontId="49" fillId="0" borderId="3" xfId="0" applyNumberFormat="1" applyFont="1" applyBorder="1" applyAlignment="1">
      <alignment horizontal="center" wrapText="1"/>
    </xf>
    <xf numFmtId="3" fontId="49" fillId="0" borderId="4" xfId="0" applyNumberFormat="1" applyFont="1" applyBorder="1" applyAlignment="1">
      <alignment horizontal="center" wrapText="1"/>
    </xf>
    <xf numFmtId="166" fontId="49" fillId="0" borderId="4" xfId="0" applyNumberFormat="1" applyFont="1" applyBorder="1" applyAlignment="1">
      <alignment horizontal="center" wrapText="1"/>
    </xf>
    <xf numFmtId="4" fontId="49" fillId="0" borderId="4" xfId="0" applyNumberFormat="1" applyFont="1" applyBorder="1" applyAlignment="1">
      <alignment horizontal="center" wrapText="1"/>
    </xf>
    <xf numFmtId="3" fontId="49" fillId="0" borderId="12" xfId="0" applyNumberFormat="1" applyFont="1" applyBorder="1" applyAlignment="1">
      <alignment horizontal="center" wrapText="1"/>
    </xf>
    <xf numFmtId="3" fontId="48" fillId="0" borderId="36" xfId="0" applyNumberFormat="1" applyFont="1" applyBorder="1" applyAlignment="1">
      <alignment horizontal="center" wrapText="1"/>
    </xf>
    <xf numFmtId="9" fontId="49" fillId="0" borderId="0" xfId="6" applyFont="1" applyAlignment="1">
      <alignment horizontal="center" wrapText="1"/>
    </xf>
    <xf numFmtId="3" fontId="49" fillId="0" borderId="11" xfId="0" applyNumberFormat="1" applyFont="1" applyBorder="1" applyAlignment="1">
      <alignment horizontal="center" wrapText="1"/>
    </xf>
    <xf numFmtId="3" fontId="48" fillId="0" borderId="4" xfId="0" applyNumberFormat="1" applyFont="1" applyBorder="1" applyAlignment="1">
      <alignment horizontal="center" wrapText="1"/>
    </xf>
    <xf numFmtId="168" fontId="49" fillId="0" borderId="4" xfId="0" applyNumberFormat="1" applyFont="1" applyBorder="1" applyAlignment="1">
      <alignment horizontal="center" wrapText="1"/>
    </xf>
    <xf numFmtId="167" fontId="49" fillId="0" borderId="4" xfId="6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49" fillId="0" borderId="12" xfId="0" applyNumberFormat="1" applyFont="1" applyBorder="1" applyAlignment="1">
      <alignment horizontal="center" wrapText="1"/>
    </xf>
    <xf numFmtId="2" fontId="49" fillId="0" borderId="1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2" fontId="49" fillId="0" borderId="17" xfId="0" applyNumberFormat="1" applyFont="1" applyBorder="1" applyAlignment="1">
      <alignment horizontal="center" wrapText="1"/>
    </xf>
    <xf numFmtId="2" fontId="49" fillId="0" borderId="15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4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0" fillId="8" borderId="7" xfId="0" applyFont="1" applyFill="1" applyBorder="1" applyAlignment="1">
      <alignment horizontal="center" wrapText="1"/>
    </xf>
    <xf numFmtId="0" fontId="0" fillId="8" borderId="8" xfId="0" applyFont="1" applyFill="1" applyBorder="1" applyAlignment="1">
      <alignment horizontal="center" wrapText="1"/>
    </xf>
    <xf numFmtId="0" fontId="0" fillId="8" borderId="17" xfId="0" applyFont="1" applyFill="1" applyBorder="1" applyAlignment="1">
      <alignment horizontal="center" wrapText="1"/>
    </xf>
    <xf numFmtId="0" fontId="0" fillId="8" borderId="10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 wrapText="1"/>
    </xf>
    <xf numFmtId="0" fontId="0" fillId="8" borderId="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42" fillId="2" borderId="5" xfId="2" applyFont="1" applyFill="1" applyBorder="1" applyAlignment="1" applyProtection="1">
      <alignment horizontal="center"/>
    </xf>
    <xf numFmtId="0" fontId="42" fillId="2" borderId="16" xfId="2" applyFont="1" applyFill="1" applyBorder="1" applyAlignment="1" applyProtection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/>
    </xf>
    <xf numFmtId="0" fontId="2" fillId="17" borderId="1" xfId="0" applyFont="1" applyFill="1" applyBorder="1" applyAlignment="1">
      <alignment horizontal="center" wrapText="1"/>
    </xf>
    <xf numFmtId="0" fontId="2" fillId="17" borderId="2" xfId="0" applyFont="1" applyFill="1" applyBorder="1" applyAlignment="1">
      <alignment horizontal="center" wrapText="1"/>
    </xf>
    <xf numFmtId="0" fontId="2" fillId="17" borderId="3" xfId="0" applyFont="1" applyFill="1" applyBorder="1" applyAlignment="1">
      <alignment horizontal="center" wrapText="1"/>
    </xf>
    <xf numFmtId="0" fontId="40" fillId="2" borderId="40" xfId="2" applyFont="1" applyFill="1" applyBorder="1" applyAlignment="1" applyProtection="1">
      <alignment horizontal="center"/>
    </xf>
    <xf numFmtId="0" fontId="40" fillId="2" borderId="29" xfId="2" applyFont="1" applyFill="1" applyBorder="1" applyAlignment="1" applyProtection="1">
      <alignment horizontal="center"/>
    </xf>
    <xf numFmtId="0" fontId="40" fillId="2" borderId="30" xfId="2" applyFont="1" applyFill="1" applyBorder="1" applyAlignment="1" applyProtection="1">
      <alignment horizontal="center"/>
    </xf>
    <xf numFmtId="0" fontId="40" fillId="2" borderId="31" xfId="2" applyFont="1" applyFill="1" applyBorder="1" applyAlignment="1" applyProtection="1">
      <alignment horizontal="center"/>
    </xf>
    <xf numFmtId="0" fontId="40" fillId="2" borderId="21" xfId="2" applyFont="1" applyFill="1" applyBorder="1" applyAlignment="1" applyProtection="1">
      <alignment horizontal="center"/>
    </xf>
    <xf numFmtId="0" fontId="40" fillId="2" borderId="32" xfId="2" applyFont="1" applyFill="1" applyBorder="1" applyAlignment="1" applyProtection="1">
      <alignment horizontal="center"/>
    </xf>
    <xf numFmtId="0" fontId="0" fillId="0" borderId="26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42" fillId="2" borderId="5" xfId="2" applyFont="1" applyFill="1" applyBorder="1" applyAlignment="1" applyProtection="1">
      <alignment horizontal="center" wrapText="1"/>
    </xf>
    <xf numFmtId="0" fontId="42" fillId="2" borderId="20" xfId="2" applyFont="1" applyFill="1" applyBorder="1" applyAlignment="1" applyProtection="1">
      <alignment horizontal="center" wrapText="1"/>
    </xf>
    <xf numFmtId="0" fontId="42" fillId="2" borderId="16" xfId="2" applyFont="1" applyFill="1" applyBorder="1" applyAlignment="1" applyProtection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2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wrapText="1"/>
    </xf>
    <xf numFmtId="0" fontId="2" fillId="19" borderId="1" xfId="0" applyFont="1" applyFill="1" applyBorder="1" applyAlignment="1">
      <alignment horizontal="center" wrapText="1"/>
    </xf>
    <xf numFmtId="0" fontId="2" fillId="19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wrapText="1"/>
    </xf>
    <xf numFmtId="0" fontId="46" fillId="2" borderId="42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5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0" fillId="5" borderId="4" xfId="2" applyFont="1" applyFill="1" applyBorder="1" applyAlignment="1" applyProtection="1">
      <alignment horizontal="center"/>
    </xf>
    <xf numFmtId="0" fontId="36" fillId="1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left" wrapText="1"/>
    </xf>
    <xf numFmtId="0" fontId="37" fillId="15" borderId="26" xfId="1" applyFont="1" applyFill="1" applyBorder="1" applyAlignment="1">
      <alignment horizontal="center" vertical="center"/>
    </xf>
    <xf numFmtId="0" fontId="24" fillId="15" borderId="27" xfId="1" applyFont="1" applyFill="1" applyBorder="1" applyAlignment="1">
      <alignment horizontal="center" vertical="center"/>
    </xf>
    <xf numFmtId="0" fontId="37" fillId="15" borderId="34" xfId="1" applyFont="1" applyFill="1" applyBorder="1" applyAlignment="1">
      <alignment horizontal="center" vertical="top"/>
    </xf>
    <xf numFmtId="0" fontId="37" fillId="15" borderId="22" xfId="1" applyFont="1" applyFill="1" applyBorder="1" applyAlignment="1">
      <alignment horizontal="center" vertical="top"/>
    </xf>
    <xf numFmtId="0" fontId="37" fillId="15" borderId="23" xfId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7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23" fillId="0" borderId="16" xfId="0" applyNumberFormat="1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8" fillId="9" borderId="1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8" fillId="9" borderId="4" xfId="0" applyFont="1" applyFill="1" applyBorder="1" applyAlignment="1">
      <alignment horizontal="center" wrapText="1"/>
    </xf>
    <xf numFmtId="0" fontId="21" fillId="18" borderId="4" xfId="0" applyFont="1" applyFill="1" applyBorder="1" applyAlignment="1">
      <alignment horizontal="center" wrapText="1"/>
    </xf>
    <xf numFmtId="0" fontId="18" fillId="0" borderId="1" xfId="4" applyNumberFormat="1" applyFont="1" applyFill="1" applyBorder="1" applyAlignment="1" applyProtection="1">
      <alignment horizontal="center" vertical="top" wrapText="1"/>
    </xf>
    <xf numFmtId="0" fontId="18" fillId="0" borderId="3" xfId="4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8" fillId="0" borderId="12" xfId="4" applyNumberFormat="1" applyFont="1" applyFill="1" applyBorder="1" applyAlignment="1" applyProtection="1">
      <alignment horizontal="center" vertical="top" wrapText="1"/>
    </xf>
    <xf numFmtId="0" fontId="18" fillId="0" borderId="11" xfId="4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horizontal="center" wrapText="1"/>
    </xf>
    <xf numFmtId="0" fontId="24" fillId="0" borderId="14" xfId="4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52" fillId="21" borderId="4" xfId="0" applyFont="1" applyFill="1" applyBorder="1" applyAlignment="1">
      <alignment horizontal="center" wrapText="1"/>
    </xf>
    <xf numFmtId="1" fontId="53" fillId="22" borderId="0" xfId="2" applyNumberFormat="1" applyFont="1" applyFill="1" applyAlignment="1" applyProtection="1">
      <alignment horizontal="center"/>
    </xf>
  </cellXfs>
  <cellStyles count="8">
    <cellStyle name="Гиперссылка" xfId="2" builtinId="8"/>
    <cellStyle name="Обычный" xfId="0" builtinId="0"/>
    <cellStyle name="Обычный 2" xfId="1"/>
    <cellStyle name="Обычный 3" xfId="3"/>
    <cellStyle name="Обычный 4" xfId="7"/>
    <cellStyle name="Обычный_Лист10" xfId="5"/>
    <cellStyle name="Обычный_Списки" xfId="4"/>
    <cellStyle name="Процентный" xfId="6" builtinId="5"/>
  </cellStyles>
  <dxfs count="7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0033CC"/>
      <color rgb="FF99FF33"/>
      <color rgb="FFFF9900"/>
      <color rgb="FF006600"/>
      <color rgb="FF66FFFF"/>
      <color rgb="FFFF99CC"/>
      <color rgb="FFFF66CC"/>
      <color rgb="FFFFCCFF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16" lockText="1"/>
</file>

<file path=xl/ctrlProps/ctrlProp2.xml><?xml version="1.0" encoding="utf-8"?>
<formControlPr xmlns="http://schemas.microsoft.com/office/spreadsheetml/2009/9/main" objectType="CheckBox" fmlaLink="$G$32" lockText="1"/>
</file>

<file path=xl/ctrlProps/ctrlProp3.xml><?xml version="1.0" encoding="utf-8"?>
<formControlPr xmlns="http://schemas.microsoft.com/office/spreadsheetml/2009/9/main" objectType="CheckBox" checked="Checked" fmlaLink="$G$48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25</xdr:row>
      <xdr:rowOff>180975</xdr:rowOff>
    </xdr:from>
    <xdr:to>
      <xdr:col>14</xdr:col>
      <xdr:colOff>582870</xdr:colOff>
      <xdr:row>37</xdr:row>
      <xdr:rowOff>152399</xdr:rowOff>
    </xdr:to>
    <xdr:grpSp>
      <xdr:nvGrpSpPr>
        <xdr:cNvPr id="31" name="Группа 30"/>
        <xdr:cNvGrpSpPr/>
      </xdr:nvGrpSpPr>
      <xdr:grpSpPr>
        <a:xfrm>
          <a:off x="10741398" y="5537387"/>
          <a:ext cx="2403266" cy="2358277"/>
          <a:chOff x="10906124" y="5162550"/>
          <a:chExt cx="2421196" cy="2409824"/>
        </a:xfrm>
      </xdr:grpSpPr>
      <xdr:sp macro="" textlink="">
        <xdr:nvSpPr>
          <xdr:cNvPr id="2" name="Прямоугольник 1"/>
          <xdr:cNvSpPr/>
        </xdr:nvSpPr>
        <xdr:spPr>
          <a:xfrm>
            <a:off x="10915649" y="6838949"/>
            <a:ext cx="1095375" cy="73342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uk-UA" sz="1100"/>
              <a:t>Стеля, підлога</a:t>
            </a:r>
          </a:p>
        </xdr:txBody>
      </xdr:sp>
      <xdr:sp macro="" textlink="">
        <xdr:nvSpPr>
          <xdr:cNvPr id="3" name="Прямоугольник 2"/>
          <xdr:cNvSpPr/>
        </xdr:nvSpPr>
        <xdr:spPr>
          <a:xfrm>
            <a:off x="10906124" y="5162550"/>
            <a:ext cx="1095375" cy="13716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uk-UA" sz="1100"/>
              <a:t>Стіни</a:t>
            </a:r>
          </a:p>
        </xdr:txBody>
      </xdr:sp>
      <xdr:sp macro="" textlink="">
        <xdr:nvSpPr>
          <xdr:cNvPr id="4" name="Прямоугольник 3"/>
          <xdr:cNvSpPr/>
        </xdr:nvSpPr>
        <xdr:spPr>
          <a:xfrm>
            <a:off x="12372975" y="5162550"/>
            <a:ext cx="885824" cy="13716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uk-UA" sz="1100"/>
              <a:t>Стіни</a:t>
            </a:r>
          </a:p>
        </xdr:txBody>
      </xdr:sp>
      <xdr:sp macro="" textlink="">
        <xdr:nvSpPr>
          <xdr:cNvPr id="5" name="Прямоугольник 4"/>
          <xdr:cNvSpPr/>
        </xdr:nvSpPr>
        <xdr:spPr>
          <a:xfrm>
            <a:off x="11049000" y="540067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lang="uk-UA" sz="700">
                <a:solidFill>
                  <a:schemeClr val="tx1"/>
                </a:solidFill>
              </a:rPr>
              <a:t>1,8х1,5</a:t>
            </a:r>
          </a:p>
        </xdr:txBody>
      </xdr:sp>
      <xdr:sp macro="" textlink="">
        <xdr:nvSpPr>
          <xdr:cNvPr id="6" name="Прямоугольник 5"/>
          <xdr:cNvSpPr/>
        </xdr:nvSpPr>
        <xdr:spPr>
          <a:xfrm>
            <a:off x="11325225" y="540067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7" name="Прямоугольник 6"/>
          <xdr:cNvSpPr/>
        </xdr:nvSpPr>
        <xdr:spPr>
          <a:xfrm>
            <a:off x="11601450" y="540067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8" name="Прямоугольник 7"/>
          <xdr:cNvSpPr/>
        </xdr:nvSpPr>
        <xdr:spPr>
          <a:xfrm>
            <a:off x="11068050" y="5810250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9" name="Прямоугольник 8"/>
          <xdr:cNvSpPr/>
        </xdr:nvSpPr>
        <xdr:spPr>
          <a:xfrm>
            <a:off x="11344275" y="5810250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0" name="Прямоугольник 9"/>
          <xdr:cNvSpPr/>
        </xdr:nvSpPr>
        <xdr:spPr>
          <a:xfrm>
            <a:off x="11620500" y="5810250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1" name="Прямоугольник 10"/>
          <xdr:cNvSpPr/>
        </xdr:nvSpPr>
        <xdr:spPr>
          <a:xfrm>
            <a:off x="11068050" y="620077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2" name="Прямоугольник 11"/>
          <xdr:cNvSpPr/>
        </xdr:nvSpPr>
        <xdr:spPr>
          <a:xfrm>
            <a:off x="11344275" y="620077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3" name="Прямоугольник 12"/>
          <xdr:cNvSpPr/>
        </xdr:nvSpPr>
        <xdr:spPr>
          <a:xfrm>
            <a:off x="11620500" y="620077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4" name="Прямоугольник 13"/>
          <xdr:cNvSpPr/>
        </xdr:nvSpPr>
        <xdr:spPr>
          <a:xfrm>
            <a:off x="12573000" y="5429250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5" name="Прямоугольник 14"/>
          <xdr:cNvSpPr/>
        </xdr:nvSpPr>
        <xdr:spPr>
          <a:xfrm>
            <a:off x="12849225" y="5429250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6" name="Прямоугольник 15"/>
          <xdr:cNvSpPr/>
        </xdr:nvSpPr>
        <xdr:spPr>
          <a:xfrm>
            <a:off x="12582525" y="583882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7" name="Прямоугольник 16"/>
          <xdr:cNvSpPr/>
        </xdr:nvSpPr>
        <xdr:spPr>
          <a:xfrm>
            <a:off x="12858750" y="5838825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8" name="Прямоугольник 17"/>
          <xdr:cNvSpPr/>
        </xdr:nvSpPr>
        <xdr:spPr>
          <a:xfrm>
            <a:off x="12592050" y="6191250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sp macro="" textlink="">
        <xdr:nvSpPr>
          <xdr:cNvPr id="19" name="Прямоугольник 18"/>
          <xdr:cNvSpPr/>
        </xdr:nvSpPr>
        <xdr:spPr>
          <a:xfrm>
            <a:off x="12868275" y="6191250"/>
            <a:ext cx="190500" cy="2667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uk-UA" sz="1100"/>
          </a:p>
        </xdr:txBody>
      </xdr:sp>
      <xdr:grpSp>
        <xdr:nvGrpSpPr>
          <xdr:cNvPr id="22" name="Группа 21"/>
          <xdr:cNvGrpSpPr/>
        </xdr:nvGrpSpPr>
        <xdr:grpSpPr>
          <a:xfrm>
            <a:off x="11372486" y="5902792"/>
            <a:ext cx="1954834" cy="1577964"/>
            <a:chOff x="11372486" y="5902792"/>
            <a:chExt cx="1954834" cy="1577964"/>
          </a:xfrm>
        </xdr:grpSpPr>
        <xdr:sp macro="" textlink="">
          <xdr:nvSpPr>
            <xdr:cNvPr id="20" name="Дуга 19"/>
            <xdr:cNvSpPr/>
          </xdr:nvSpPr>
          <xdr:spPr>
            <a:xfrm rot="2878927">
              <a:off x="11680124" y="6120696"/>
              <a:ext cx="708068" cy="762793"/>
            </a:xfrm>
            <a:prstGeom prst="arc">
              <a:avLst>
                <a:gd name="adj1" fmla="val 17334107"/>
                <a:gd name="adj2" fmla="val 3031067"/>
              </a:avLst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uk-UA" sz="1100"/>
            </a:p>
          </xdr:txBody>
        </xdr:sp>
        <xdr:sp macro="" textlink="">
          <xdr:nvSpPr>
            <xdr:cNvPr id="21" name="Дуга 20"/>
            <xdr:cNvSpPr/>
          </xdr:nvSpPr>
          <xdr:spPr>
            <a:xfrm rot="2878927">
              <a:off x="11560921" y="5714357"/>
              <a:ext cx="1577964" cy="1954834"/>
            </a:xfrm>
            <a:prstGeom prst="arc">
              <a:avLst>
                <a:gd name="adj1" fmla="val 17334107"/>
                <a:gd name="adj2" fmla="val 3926198"/>
              </a:avLst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uk-UA" sz="1100"/>
            </a:p>
          </xdr:txBody>
        </xdr:sp>
      </xdr:grpSp>
      <xdr:cxnSp macro="">
        <xdr:nvCxnSpPr>
          <xdr:cNvPr id="24" name="Прямая соединительная линия 23"/>
          <xdr:cNvCxnSpPr/>
        </xdr:nvCxnSpPr>
        <xdr:spPr>
          <a:xfrm flipV="1">
            <a:off x="12011025" y="5162550"/>
            <a:ext cx="381000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Прямая соединительная линия 25"/>
          <xdr:cNvCxnSpPr/>
        </xdr:nvCxnSpPr>
        <xdr:spPr>
          <a:xfrm flipV="1">
            <a:off x="11972925" y="6524625"/>
            <a:ext cx="381000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Прямая соединительная линия 27"/>
          <xdr:cNvCxnSpPr/>
        </xdr:nvCxnSpPr>
        <xdr:spPr>
          <a:xfrm>
            <a:off x="10915650" y="6534150"/>
            <a:ext cx="0" cy="342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Прямая соединительная линия 29"/>
          <xdr:cNvCxnSpPr/>
        </xdr:nvCxnSpPr>
        <xdr:spPr>
          <a:xfrm>
            <a:off x="12001500" y="6524625"/>
            <a:ext cx="0" cy="342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9525</xdr:rowOff>
        </xdr:from>
        <xdr:to>
          <xdr:col>8</xdr:col>
          <xdr:colOff>0</xdr:colOff>
          <xdr:row>15</xdr:row>
          <xdr:rowOff>276225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Врахувати теплопровідні включення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31</xdr:row>
          <xdr:rowOff>9525</xdr:rowOff>
        </xdr:from>
        <xdr:to>
          <xdr:col>8</xdr:col>
          <xdr:colOff>0</xdr:colOff>
          <xdr:row>31</xdr:row>
          <xdr:rowOff>276225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Врахувати теплопровідні включення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47</xdr:row>
          <xdr:rowOff>9525</xdr:rowOff>
        </xdr:from>
        <xdr:to>
          <xdr:col>8</xdr:col>
          <xdr:colOff>0</xdr:colOff>
          <xdr:row>47</xdr:row>
          <xdr:rowOff>276225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Врахувати теплопровідні включення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3</xdr:row>
      <xdr:rowOff>76201</xdr:rowOff>
    </xdr:from>
    <xdr:to>
      <xdr:col>9</xdr:col>
      <xdr:colOff>581025</xdr:colOff>
      <xdr:row>44</xdr:row>
      <xdr:rowOff>60719</xdr:rowOff>
    </xdr:to>
    <xdr:pic>
      <xdr:nvPicPr>
        <xdr:cNvPr id="2" name="Рисунок 1" descr="https://saee.gov.ua/sites/default/files/blocks/Oprylyudnennya%20III%20kv%202022-3%20os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47701"/>
          <a:ext cx="5514975" cy="779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2\SYS\PROJECTS\94002\1150\1150-32-S-001Rev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PROJECTS%20RH%20OLD\9X4569%20ShinEstu%20Estimate\'9X4569-G-11170-100-0%20Estimate%20Class2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RAMAR\DOCS-NTC_BM\8_DH%20PROJECTS\First%20Climate-%20Vinnitsa%20DH%20project\&#1056;&#1072;&#1073;&#1086;&#1095;&#1080;&#1077;%20&#1076;&#1086;&#1082;&#1091;&#1084;&#1077;&#1085;&#1090;&#1099;\Rough%20dynamic%20cost%20calculation%202011-2015_rs-12_05_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LS_M\Most%20developed%20files\++Model_V1.1Report_Zapor_BH_ABSTRACT+90proc_gas_V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1040;&#1076;&#1084;&#1080;&#1085;&#1080;&#1089;&#1090;&#1088;&#1072;&#1090;&#1086;&#1088;\&#1056;&#1072;&#1073;&#1086;&#1095;&#1080;&#1081;%20&#1089;&#1090;&#1086;&#1083;\&#1050;&#1086;&#1087;&#1080;&#1103;%20Xl0000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SUMMARY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Data"/>
      <sheetName val="GeneralData2"/>
      <sheetName val="Basic"/>
      <sheetName val="EnginCheckEdB"/>
      <sheetName val="HO  check"/>
      <sheetName val="Sheet1"/>
      <sheetName val="SummaryALL"/>
      <sheetName val="SummaryAREA10"/>
      <sheetName val="Contingency"/>
      <sheetName val="SummaryAREA11"/>
      <sheetName val="SummaryAREA12"/>
      <sheetName val="SummaryAREA99"/>
      <sheetName val="CHECK"/>
      <sheetName val="Details"/>
      <sheetName val="Equipment classification list"/>
      <sheetName val="INSTR EST"/>
      <sheetName val="INSTR EST check 10% add instr"/>
      <sheetName val="ELECTR EST"/>
      <sheetName val="ELECTR BU"/>
      <sheetName val="CSA"/>
      <sheetName val="FWBS21"/>
      <sheetName val="Tables"/>
      <sheetName val="Anal"/>
      <sheetName val="Anal (2)"/>
    </sheetNames>
    <sheetDataSet>
      <sheetData sheetId="0">
        <row r="2">
          <cell r="C2" t="str">
            <v>Cost Estimate Class 2</v>
          </cell>
        </row>
        <row r="3">
          <cell r="C3" t="str">
            <v>OXY AB Replacement</v>
          </cell>
        </row>
        <row r="4">
          <cell r="C4" t="str">
            <v/>
          </cell>
        </row>
        <row r="6">
          <cell r="C6" t="str">
            <v>Rotterdam</v>
          </cell>
        </row>
        <row r="7">
          <cell r="C7" t="str">
            <v>Shin Etsu</v>
          </cell>
        </row>
        <row r="8">
          <cell r="C8" t="str">
            <v>9X4569.02</v>
          </cell>
        </row>
        <row r="9">
          <cell r="C9" t="str">
            <v>9X4568-G-11170-010</v>
          </cell>
        </row>
        <row r="10">
          <cell r="C10">
            <v>0</v>
          </cell>
        </row>
        <row r="11">
          <cell r="C11" t="str">
            <v>for comment</v>
          </cell>
        </row>
        <row r="12">
          <cell r="C12">
            <v>42073.666316435185</v>
          </cell>
        </row>
        <row r="13">
          <cell r="C13" t="str">
            <v>DBO</v>
          </cell>
        </row>
        <row r="21">
          <cell r="C21">
            <v>0.1</v>
          </cell>
        </row>
        <row r="22">
          <cell r="C2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Energy saving"/>
      <sheetName val="Investm"/>
      <sheetName val="Gas price"/>
      <sheetName val="Electr_price"/>
      <sheetName val="Salary"/>
      <sheetName val="water_price"/>
      <sheetName val="ES 2008-2012"/>
      <sheetName val="Prod 2005-2009"/>
      <sheetName val="Prod 2010"/>
      <sheetName val="Quest_2"/>
      <sheetName val="Econ_Val"/>
    </sheetNames>
    <sheetDataSet>
      <sheetData sheetId="0"/>
      <sheetData sheetId="1"/>
      <sheetData sheetId="2"/>
      <sheetData sheetId="3"/>
      <sheetData sheetId="4">
        <row r="4">
          <cell r="K4" t="str">
            <v>UA</v>
          </cell>
        </row>
        <row r="5">
          <cell r="K5" t="str">
            <v>RU</v>
          </cell>
        </row>
        <row r="6">
          <cell r="K6" t="str">
            <v>EN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"/>
      <sheetName val="Рез"/>
      <sheetName val="Gasprice_raise"/>
      <sheetName val="bidding_3"/>
      <sheetName val="Кот_MTM"/>
      <sheetName val="Reserv"/>
      <sheetName val="Х-ки проектів"/>
      <sheetName val="Опис пр-тів"/>
      <sheetName val="Тар_Заг"/>
      <sheetName val="Тар_Нас"/>
      <sheetName val="Тар_інш"/>
      <sheetName val="BH-Gen"/>
      <sheetName val="DH Netw"/>
      <sheetName val="data_1"/>
      <sheetName val="Д-2014"/>
      <sheetName val="Employees"/>
      <sheetName val="чиспрац"/>
      <sheetName val="ее"/>
      <sheetName val="Ціна БМ котельні"/>
      <sheetName val="Ц_газу"/>
      <sheetName val="Ц_газ_прош"/>
      <sheetName val="H_S_Durat+instr"/>
      <sheetName val="Reserv_approach"/>
      <sheetName val="Пор_таб"/>
      <sheetName val="HowmuchBH"/>
      <sheetName val="Zhyt"/>
      <sheetName val="Vinn"/>
      <sheetName val="Lviv"/>
      <sheetName val="I-Fr"/>
      <sheetName val="Kam-Pod"/>
      <sheetName val="Polt"/>
      <sheetName val="Dnepr"/>
      <sheetName val="Dn-Dz"/>
      <sheetName val="Kr_Rig"/>
      <sheetName val="Oleks"/>
      <sheetName val="Sevdon"/>
      <sheetName val="Rivne"/>
      <sheetName val="Kharkiv"/>
      <sheetName val="Міс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бота котелень"/>
      <sheetName val="ІНФ.МЕРЕЖІ"/>
      <sheetName val="ІНФ. КОТЛИ"/>
      <sheetName val="вент"/>
      <sheetName val="димососи"/>
      <sheetName val="насоси рец або жив"/>
      <sheetName val="насоси кот"/>
    </sheetNames>
    <sheetDataSet>
      <sheetData sheetId="0"/>
      <sheetData sheetId="1"/>
      <sheetData sheetId="2">
        <row r="8">
          <cell r="AF8" t="str">
            <v>вид палива</v>
          </cell>
        </row>
        <row r="9">
          <cell r="AF9" t="str">
            <v>газ</v>
          </cell>
        </row>
        <row r="10">
          <cell r="AF10" t="str">
            <v>вугілля кам'яне</v>
          </cell>
        </row>
        <row r="11">
          <cell r="AF11" t="str">
            <v>вугілля буре</v>
          </cell>
        </row>
        <row r="12">
          <cell r="AF12" t="str">
            <v>мазут</v>
          </cell>
        </row>
        <row r="13">
          <cell r="AF13" t="str">
            <v>електроенергія</v>
          </cell>
        </row>
        <row r="14">
          <cell r="AF14" t="str">
            <v>інше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dropbox.com/sh/wkqix7yyphh7ikf/AABUjoVZY0upPcyn_MJiSIDVa?dl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minregion.gov.ua/wp-content/uploads/2022/02/taryfy-na-poslugu-z-teplopostachannya-na-01.01.2022.xlsx" TargetMode="External"/><Relationship Id="rId1" Type="http://schemas.openxmlformats.org/officeDocument/2006/relationships/hyperlink" Target="https://saee.gov.ua/uk/content/serednozvazheni-taryf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O83"/>
  <sheetViews>
    <sheetView tabSelected="1" topLeftCell="A62" zoomScale="85" zoomScaleNormal="85" workbookViewId="0">
      <selection activeCell="A63" sqref="A63:I83"/>
    </sheetView>
  </sheetViews>
  <sheetFormatPr defaultRowHeight="15" x14ac:dyDescent="0.25"/>
  <cols>
    <col min="1" max="1" width="23.7109375" style="103" customWidth="1"/>
    <col min="2" max="2" width="8.5703125" style="103" customWidth="1"/>
    <col min="3" max="3" width="5.140625" style="103" customWidth="1"/>
    <col min="4" max="4" width="15.7109375" style="103" customWidth="1"/>
    <col min="5" max="5" width="7.7109375" style="103" customWidth="1"/>
    <col min="6" max="6" width="40.85546875" style="103" customWidth="1"/>
    <col min="7" max="7" width="16.85546875" style="103" customWidth="1"/>
    <col min="8" max="8" width="19.7109375" style="103" customWidth="1"/>
    <col min="9" max="9" width="13.28515625" style="103" customWidth="1"/>
    <col min="10" max="12" width="9.140625" style="103"/>
    <col min="13" max="13" width="0.5703125" style="103" customWidth="1"/>
    <col min="14" max="16384" width="9.140625" style="103"/>
  </cols>
  <sheetData>
    <row r="1" spans="1:8" ht="15" customHeight="1" thickBot="1" x14ac:dyDescent="0.3">
      <c r="A1" s="235" t="s">
        <v>305</v>
      </c>
      <c r="B1" s="235"/>
      <c r="C1" s="236"/>
      <c r="D1" s="237" t="s">
        <v>43</v>
      </c>
      <c r="E1" s="238"/>
      <c r="F1" s="109" t="s">
        <v>320</v>
      </c>
    </row>
    <row r="2" spans="1:8" x14ac:dyDescent="0.25">
      <c r="A2" s="235"/>
      <c r="B2" s="235"/>
      <c r="C2" s="235"/>
      <c r="D2" s="239">
        <v>5000</v>
      </c>
      <c r="E2" s="239"/>
      <c r="F2" s="109" t="s">
        <v>306</v>
      </c>
    </row>
    <row r="3" spans="1:8" x14ac:dyDescent="0.25">
      <c r="A3" s="235"/>
      <c r="B3" s="235"/>
      <c r="C3" s="235"/>
      <c r="D3" s="240">
        <v>34</v>
      </c>
      <c r="E3" s="240"/>
      <c r="F3" s="109" t="s">
        <v>307</v>
      </c>
    </row>
    <row r="4" spans="1:8" x14ac:dyDescent="0.25">
      <c r="A4" s="235"/>
      <c r="B4" s="235"/>
      <c r="C4" s="235"/>
      <c r="D4" s="241">
        <v>0.8</v>
      </c>
      <c r="E4" s="241"/>
      <c r="F4" s="109" t="s">
        <v>332</v>
      </c>
    </row>
    <row r="5" spans="1:8" x14ac:dyDescent="0.25">
      <c r="A5" s="235"/>
      <c r="B5" s="235"/>
      <c r="C5" s="235"/>
      <c r="D5" s="242" t="s">
        <v>308</v>
      </c>
      <c r="E5" s="242"/>
      <c r="F5" s="109" t="s">
        <v>309</v>
      </c>
    </row>
    <row r="6" spans="1:8" x14ac:dyDescent="0.25">
      <c r="A6" s="235"/>
      <c r="B6" s="235"/>
      <c r="C6" s="235"/>
      <c r="D6" s="243">
        <v>30</v>
      </c>
      <c r="E6" s="243"/>
      <c r="F6" s="109" t="s">
        <v>319</v>
      </c>
    </row>
    <row r="7" spans="1:8" x14ac:dyDescent="0.25">
      <c r="A7" s="244" t="s">
        <v>310</v>
      </c>
      <c r="B7" s="244"/>
      <c r="C7" s="244"/>
      <c r="D7" s="244"/>
      <c r="E7" s="244"/>
      <c r="F7" s="244"/>
    </row>
    <row r="8" spans="1:8" x14ac:dyDescent="0.25">
      <c r="A8" s="151" t="s">
        <v>286</v>
      </c>
      <c r="B8" s="151"/>
      <c r="C8" s="151"/>
      <c r="D8" s="151"/>
      <c r="E8" s="151"/>
      <c r="F8" s="110">
        <v>0.1</v>
      </c>
    </row>
    <row r="9" spans="1:8" x14ac:dyDescent="0.25">
      <c r="A9" s="151" t="s">
        <v>343</v>
      </c>
      <c r="B9" s="151"/>
      <c r="C9" s="151"/>
      <c r="D9" s="151"/>
      <c r="E9" s="151"/>
      <c r="F9" s="132">
        <v>37.5</v>
      </c>
    </row>
    <row r="10" spans="1:8" ht="15.75" thickBot="1" x14ac:dyDescent="0.3">
      <c r="A10" s="195" t="s">
        <v>285</v>
      </c>
      <c r="B10" s="195"/>
      <c r="C10" s="195"/>
      <c r="D10" s="195"/>
      <c r="E10" s="195"/>
      <c r="F10" s="115">
        <v>30</v>
      </c>
    </row>
    <row r="11" spans="1:8" ht="24" customHeight="1" x14ac:dyDescent="0.25">
      <c r="A11" s="216" t="s">
        <v>249</v>
      </c>
      <c r="B11" s="210" t="s">
        <v>43</v>
      </c>
      <c r="C11" s="211"/>
      <c r="D11" s="211"/>
      <c r="E11" s="212"/>
      <c r="F11" s="124" t="s">
        <v>248</v>
      </c>
      <c r="G11" s="117" t="s">
        <v>250</v>
      </c>
      <c r="H11" s="118" t="s">
        <v>230</v>
      </c>
    </row>
    <row r="12" spans="1:8" ht="15" customHeight="1" thickBot="1" x14ac:dyDescent="0.3">
      <c r="A12" s="217"/>
      <c r="B12" s="213"/>
      <c r="C12" s="214"/>
      <c r="D12" s="214"/>
      <c r="E12" s="215"/>
      <c r="F12" s="133">
        <f>INDEX(Списки!$C$42:$C$67,MATCH(B11,Списки!$A$42:$A$67,0))</f>
        <v>-0.1</v>
      </c>
      <c r="G12" s="134">
        <f>INDEX(Списки!$D$42:$D$67,MATCH(B11,Списки!$A$42:$A$67,0))</f>
        <v>176</v>
      </c>
      <c r="H12" s="135">
        <f>IF(OR(Списки!A46=B11,Списки!A53=B11,Списки!A54=B11,Списки!A57=B11,Списки!A60=B11,Списки!A62=B11,Списки!A67=B11)=TRUE,2,1)</f>
        <v>1</v>
      </c>
    </row>
    <row r="13" spans="1:8" ht="30" customHeight="1" thickBot="1" x14ac:dyDescent="0.3">
      <c r="A13" s="116" t="s">
        <v>239</v>
      </c>
      <c r="B13" s="218" t="s">
        <v>241</v>
      </c>
      <c r="C13" s="219"/>
      <c r="D13" s="219"/>
      <c r="E13" s="220"/>
      <c r="F13" s="124" t="s">
        <v>318</v>
      </c>
    </row>
    <row r="14" spans="1:8" ht="16.5" customHeight="1" thickBot="1" x14ac:dyDescent="0.3">
      <c r="A14" s="198" t="s">
        <v>247</v>
      </c>
      <c r="B14" s="196" t="s">
        <v>244</v>
      </c>
      <c r="C14" s="197"/>
      <c r="D14" s="126" t="s">
        <v>297</v>
      </c>
      <c r="E14" s="125">
        <v>1</v>
      </c>
      <c r="F14" s="136">
        <f>INDEX(Списки!$B$7:$B$15,MATCH($B14,Списки!$A$7:$A$15,0))</f>
        <v>34</v>
      </c>
    </row>
    <row r="15" spans="1:8" ht="16.5" customHeight="1" thickBot="1" x14ac:dyDescent="0.3">
      <c r="A15" s="199"/>
      <c r="B15" s="196" t="s">
        <v>245</v>
      </c>
      <c r="C15" s="197"/>
      <c r="D15" s="127" t="s">
        <v>298</v>
      </c>
      <c r="E15" s="137">
        <f>1-E14</f>
        <v>0</v>
      </c>
      <c r="F15" s="136">
        <f>INDEX(Списки!$B$7:$B$15,MATCH($B15,Списки!$A$7:$A$15,0))</f>
        <v>24</v>
      </c>
    </row>
    <row r="16" spans="1:8" ht="12.75" customHeight="1" x14ac:dyDescent="0.25">
      <c r="A16" s="203" t="s">
        <v>336</v>
      </c>
      <c r="B16" s="221" t="s">
        <v>299</v>
      </c>
      <c r="C16" s="222"/>
      <c r="D16" s="201"/>
      <c r="E16" s="202"/>
      <c r="F16" s="110">
        <v>0.9</v>
      </c>
    </row>
    <row r="17" spans="1:15" ht="12.75" customHeight="1" x14ac:dyDescent="0.25">
      <c r="A17" s="204"/>
      <c r="B17" s="200" t="s">
        <v>300</v>
      </c>
      <c r="C17" s="201"/>
      <c r="D17" s="201"/>
      <c r="E17" s="202"/>
      <c r="F17" s="110">
        <v>0.82</v>
      </c>
    </row>
    <row r="18" spans="1:15" x14ac:dyDescent="0.25">
      <c r="A18" s="204"/>
      <c r="B18" s="200" t="s">
        <v>301</v>
      </c>
      <c r="C18" s="201"/>
      <c r="D18" s="201"/>
      <c r="E18" s="202"/>
      <c r="F18" s="111">
        <v>26000</v>
      </c>
    </row>
    <row r="19" spans="1:15" x14ac:dyDescent="0.25">
      <c r="A19" s="204"/>
      <c r="B19" s="200" t="s">
        <v>302</v>
      </c>
      <c r="C19" s="201"/>
      <c r="D19" s="201"/>
      <c r="E19" s="202"/>
      <c r="F19" s="111">
        <v>5000</v>
      </c>
    </row>
    <row r="20" spans="1:15" x14ac:dyDescent="0.25">
      <c r="A20" s="205"/>
      <c r="B20" s="200" t="s">
        <v>251</v>
      </c>
      <c r="C20" s="201"/>
      <c r="D20" s="201"/>
      <c r="E20" s="202"/>
      <c r="F20" s="110">
        <v>0.1</v>
      </c>
    </row>
    <row r="21" spans="1:15" ht="24" customHeight="1" x14ac:dyDescent="0.25">
      <c r="A21" s="206" t="s">
        <v>291</v>
      </c>
      <c r="B21" s="206"/>
      <c r="C21" s="206"/>
      <c r="D21" s="206"/>
      <c r="E21" s="206"/>
      <c r="F21" s="111">
        <f>5640/1.2</f>
        <v>4700</v>
      </c>
      <c r="G21" s="100" t="s">
        <v>334</v>
      </c>
    </row>
    <row r="22" spans="1:15" ht="30" customHeight="1" x14ac:dyDescent="0.25">
      <c r="A22" s="207" t="s">
        <v>252</v>
      </c>
      <c r="B22" s="208"/>
      <c r="C22" s="208"/>
      <c r="D22" s="208"/>
      <c r="E22" s="208"/>
      <c r="F22" s="209"/>
      <c r="G22" s="51" t="s">
        <v>226</v>
      </c>
      <c r="H22" s="51" t="s">
        <v>227</v>
      </c>
      <c r="J22" s="189" t="s">
        <v>313</v>
      </c>
      <c r="K22" s="190"/>
      <c r="L22" s="190"/>
      <c r="M22" s="190"/>
      <c r="N22" s="190"/>
      <c r="O22" s="191"/>
    </row>
    <row r="23" spans="1:15" x14ac:dyDescent="0.25">
      <c r="A23" s="167" t="s">
        <v>0</v>
      </c>
      <c r="B23" s="168"/>
      <c r="C23" s="168"/>
      <c r="D23" s="168"/>
      <c r="E23" s="168"/>
      <c r="F23" s="172"/>
      <c r="G23" s="121">
        <v>20</v>
      </c>
      <c r="H23" s="121">
        <v>20</v>
      </c>
      <c r="J23" s="192"/>
      <c r="K23" s="193"/>
      <c r="L23" s="193"/>
      <c r="M23" s="193"/>
      <c r="N23" s="193"/>
      <c r="O23" s="194"/>
    </row>
    <row r="24" spans="1:15" x14ac:dyDescent="0.25">
      <c r="A24" s="154" t="s">
        <v>1</v>
      </c>
      <c r="B24" s="155"/>
      <c r="C24" s="155"/>
      <c r="D24" s="155"/>
      <c r="E24" s="155"/>
      <c r="F24" s="156"/>
      <c r="G24" s="111">
        <f>2*J37+2*K39</f>
        <v>70</v>
      </c>
      <c r="H24" s="136">
        <f t="shared" ref="H24:H32" si="0">G24</f>
        <v>70</v>
      </c>
      <c r="J24" s="192"/>
      <c r="K24" s="193"/>
      <c r="L24" s="193"/>
      <c r="M24" s="193"/>
      <c r="N24" s="193"/>
      <c r="O24" s="194"/>
    </row>
    <row r="25" spans="1:15" x14ac:dyDescent="0.25">
      <c r="A25" s="167" t="s">
        <v>2</v>
      </c>
      <c r="B25" s="168"/>
      <c r="C25" s="168"/>
      <c r="D25" s="168"/>
      <c r="E25" s="168"/>
      <c r="F25" s="172"/>
      <c r="G25" s="121">
        <f>J31</f>
        <v>30</v>
      </c>
      <c r="H25" s="136">
        <f t="shared" si="0"/>
        <v>30</v>
      </c>
      <c r="J25" s="198"/>
      <c r="K25" s="223"/>
      <c r="L25" s="223"/>
      <c r="M25" s="223"/>
      <c r="N25" s="223"/>
      <c r="O25" s="224"/>
    </row>
    <row r="26" spans="1:15" ht="15.75" customHeight="1" x14ac:dyDescent="0.25">
      <c r="A26" s="167" t="s">
        <v>69</v>
      </c>
      <c r="B26" s="168"/>
      <c r="C26" s="168"/>
      <c r="D26" s="168"/>
      <c r="E26" s="168"/>
      <c r="F26" s="172"/>
      <c r="G26" s="121">
        <f>K39*J37</f>
        <v>300</v>
      </c>
      <c r="H26" s="136">
        <f t="shared" si="0"/>
        <v>300</v>
      </c>
      <c r="J26" s="225"/>
      <c r="K26" s="226"/>
      <c r="L26" s="226"/>
      <c r="M26" s="226"/>
      <c r="N26" s="226"/>
      <c r="O26" s="227"/>
    </row>
    <row r="27" spans="1:15" ht="15" customHeight="1" x14ac:dyDescent="0.25">
      <c r="A27" s="167" t="s">
        <v>70</v>
      </c>
      <c r="B27" s="168"/>
      <c r="C27" s="168"/>
      <c r="D27" s="168"/>
      <c r="E27" s="168"/>
      <c r="F27" s="172"/>
      <c r="G27" s="121">
        <f>K39*J37</f>
        <v>300</v>
      </c>
      <c r="H27" s="136">
        <f t="shared" si="0"/>
        <v>300</v>
      </c>
      <c r="J27" s="225"/>
      <c r="K27" s="226"/>
      <c r="L27" s="226"/>
      <c r="M27" s="226"/>
      <c r="N27" s="226"/>
      <c r="O27" s="227"/>
    </row>
    <row r="28" spans="1:15" ht="15" customHeight="1" x14ac:dyDescent="0.25">
      <c r="A28" s="154" t="s">
        <v>238</v>
      </c>
      <c r="B28" s="155"/>
      <c r="C28" s="155"/>
      <c r="D28" s="155"/>
      <c r="E28" s="155"/>
      <c r="F28" s="156"/>
      <c r="G28" s="121">
        <f>1.8*1.5</f>
        <v>2.7</v>
      </c>
      <c r="H28" s="136">
        <f t="shared" si="0"/>
        <v>2.7</v>
      </c>
      <c r="J28" s="225"/>
      <c r="K28" s="226"/>
      <c r="L28" s="226"/>
      <c r="M28" s="226"/>
      <c r="N28" s="226"/>
      <c r="O28" s="227"/>
    </row>
    <row r="29" spans="1:15" x14ac:dyDescent="0.25">
      <c r="A29" s="167" t="s">
        <v>73</v>
      </c>
      <c r="B29" s="168"/>
      <c r="C29" s="168"/>
      <c r="D29" s="168"/>
      <c r="E29" s="168"/>
      <c r="F29" s="172"/>
      <c r="G29" s="121">
        <v>100</v>
      </c>
      <c r="H29" s="136">
        <f t="shared" si="0"/>
        <v>100</v>
      </c>
      <c r="J29" s="225"/>
      <c r="K29" s="226"/>
      <c r="L29" s="226"/>
      <c r="M29" s="226"/>
      <c r="N29" s="226"/>
      <c r="O29" s="227"/>
    </row>
    <row r="30" spans="1:15" ht="15.75" thickBot="1" x14ac:dyDescent="0.3">
      <c r="A30" s="167" t="s">
        <v>65</v>
      </c>
      <c r="B30" s="168"/>
      <c r="C30" s="168"/>
      <c r="D30" s="168"/>
      <c r="E30" s="168"/>
      <c r="F30" s="172"/>
      <c r="G30" s="121">
        <v>90</v>
      </c>
      <c r="H30" s="136">
        <f t="shared" si="0"/>
        <v>90</v>
      </c>
      <c r="J30" s="119" t="s">
        <v>312</v>
      </c>
      <c r="K30" s="226"/>
      <c r="L30" s="226"/>
      <c r="M30" s="226"/>
      <c r="N30" s="226"/>
      <c r="O30" s="227"/>
    </row>
    <row r="31" spans="1:15" ht="15.75" thickBot="1" x14ac:dyDescent="0.3">
      <c r="A31" s="167" t="s">
        <v>237</v>
      </c>
      <c r="B31" s="168"/>
      <c r="C31" s="168"/>
      <c r="D31" s="168"/>
      <c r="E31" s="168"/>
      <c r="F31" s="172"/>
      <c r="G31" s="121">
        <v>8</v>
      </c>
      <c r="H31" s="136">
        <f t="shared" si="0"/>
        <v>8</v>
      </c>
      <c r="J31" s="113">
        <v>30</v>
      </c>
      <c r="K31" s="226"/>
      <c r="L31" s="226"/>
      <c r="M31" s="226"/>
      <c r="N31" s="226"/>
      <c r="O31" s="227"/>
    </row>
    <row r="32" spans="1:15" x14ac:dyDescent="0.25">
      <c r="A32" s="167" t="s">
        <v>20</v>
      </c>
      <c r="B32" s="168"/>
      <c r="C32" s="168"/>
      <c r="D32" s="168"/>
      <c r="E32" s="168"/>
      <c r="F32" s="172"/>
      <c r="G32" s="121">
        <v>1</v>
      </c>
      <c r="H32" s="121">
        <f t="shared" si="0"/>
        <v>1</v>
      </c>
      <c r="J32" s="225"/>
      <c r="K32" s="226"/>
      <c r="L32" s="226"/>
      <c r="M32" s="226"/>
      <c r="N32" s="226"/>
      <c r="O32" s="227"/>
    </row>
    <row r="33" spans="1:15" ht="18.75" customHeight="1" x14ac:dyDescent="0.25">
      <c r="A33" s="167" t="s">
        <v>3</v>
      </c>
      <c r="B33" s="168"/>
      <c r="C33" s="168"/>
      <c r="D33" s="168"/>
      <c r="E33" s="168"/>
      <c r="F33" s="172"/>
      <c r="G33" s="138">
        <f>IF(G28*G29/(G24*G25)&gt;1,"площа вікон більша за площу стін- перевірити розрахунок",G28*G29/(G24*G25))</f>
        <v>0.12857142857142856</v>
      </c>
      <c r="H33" s="138">
        <f>IF(H28*H29/(H24*H25)&gt;1,"площа вікон більша за площу стін- перевірити розрахунок",H28*H29/(H24*H25))</f>
        <v>0.12857142857142856</v>
      </c>
      <c r="J33" s="225"/>
      <c r="K33" s="226"/>
      <c r="L33" s="226"/>
      <c r="M33" s="226"/>
      <c r="N33" s="226"/>
      <c r="O33" s="227"/>
    </row>
    <row r="34" spans="1:15" x14ac:dyDescent="0.25">
      <c r="A34" s="157" t="s">
        <v>296</v>
      </c>
      <c r="B34" s="158"/>
      <c r="C34" s="158"/>
      <c r="D34" s="158"/>
      <c r="E34" s="158"/>
      <c r="F34" s="104" t="s">
        <v>4</v>
      </c>
      <c r="G34" s="139">
        <f>Терм_опір!E16</f>
        <v>1.5159897332485455</v>
      </c>
      <c r="H34" s="139">
        <f>Терм_опір!F16</f>
        <v>0.35089994280001963</v>
      </c>
      <c r="J34" s="225"/>
      <c r="K34" s="226"/>
      <c r="L34" s="226"/>
      <c r="M34" s="226"/>
      <c r="N34" s="226"/>
      <c r="O34" s="227"/>
    </row>
    <row r="35" spans="1:15" x14ac:dyDescent="0.25">
      <c r="A35" s="158"/>
      <c r="B35" s="158"/>
      <c r="C35" s="158"/>
      <c r="D35" s="158"/>
      <c r="E35" s="158"/>
      <c r="F35" s="104" t="s">
        <v>7</v>
      </c>
      <c r="G35" s="139">
        <f>Терм_опір!E32</f>
        <v>3.2405652913084224</v>
      </c>
      <c r="H35" s="139">
        <f>Терм_опір!F32</f>
        <v>0.31521899443572182</v>
      </c>
      <c r="J35" s="225"/>
      <c r="K35" s="226"/>
      <c r="L35" s="226"/>
      <c r="M35" s="226"/>
      <c r="N35" s="226"/>
      <c r="O35" s="227"/>
    </row>
    <row r="36" spans="1:15" ht="15.75" thickBot="1" x14ac:dyDescent="0.3">
      <c r="A36" s="158"/>
      <c r="B36" s="158"/>
      <c r="C36" s="158"/>
      <c r="D36" s="158"/>
      <c r="E36" s="158"/>
      <c r="F36" s="104" t="s">
        <v>6</v>
      </c>
      <c r="G36" s="139">
        <f>Терм_опір!E48</f>
        <v>1.3838860376006621</v>
      </c>
      <c r="H36" s="139">
        <f>Терм_опір!F48</f>
        <v>0.40904441413601006</v>
      </c>
      <c r="J36" s="119" t="s">
        <v>311</v>
      </c>
      <c r="K36" s="226"/>
      <c r="L36" s="226"/>
      <c r="M36" s="226"/>
      <c r="N36" s="226"/>
      <c r="O36" s="227"/>
    </row>
    <row r="37" spans="1:15" ht="15.75" thickBot="1" x14ac:dyDescent="0.3">
      <c r="A37" s="158"/>
      <c r="B37" s="158"/>
      <c r="C37" s="158"/>
      <c r="D37" s="158"/>
      <c r="E37" s="158"/>
      <c r="F37" s="104" t="s">
        <v>5</v>
      </c>
      <c r="G37" s="139">
        <f>Терм_опір!G51</f>
        <v>1.7590822179732313</v>
      </c>
      <c r="H37" s="139">
        <f>Терм_опір!G52</f>
        <v>1.1129929833051053</v>
      </c>
      <c r="J37" s="113">
        <v>15</v>
      </c>
      <c r="K37" s="226"/>
      <c r="L37" s="226"/>
      <c r="M37" s="226"/>
      <c r="N37" s="226"/>
      <c r="O37" s="227"/>
    </row>
    <row r="38" spans="1:15" ht="16.5" customHeight="1" thickBot="1" x14ac:dyDescent="0.3">
      <c r="A38" s="167" t="s">
        <v>8</v>
      </c>
      <c r="B38" s="168"/>
      <c r="C38" s="168"/>
      <c r="D38" s="168"/>
      <c r="E38" s="168"/>
      <c r="F38" s="172"/>
      <c r="G38" s="112">
        <v>0.8</v>
      </c>
      <c r="H38" s="112">
        <v>0.8</v>
      </c>
      <c r="J38" s="225"/>
      <c r="K38" s="226"/>
      <c r="L38" s="226"/>
      <c r="M38" s="226"/>
      <c r="N38" s="226"/>
      <c r="O38" s="227"/>
    </row>
    <row r="39" spans="1:15" ht="15.75" customHeight="1" thickBot="1" x14ac:dyDescent="0.3">
      <c r="A39" s="167" t="s">
        <v>9</v>
      </c>
      <c r="B39" s="168"/>
      <c r="C39" s="168"/>
      <c r="D39" s="168"/>
      <c r="E39" s="168"/>
      <c r="F39" s="173"/>
      <c r="G39" s="112">
        <v>0.6</v>
      </c>
      <c r="H39" s="112">
        <v>0.6</v>
      </c>
      <c r="J39" s="225"/>
      <c r="K39" s="113">
        <v>20</v>
      </c>
      <c r="L39" s="226"/>
      <c r="M39" s="226"/>
      <c r="N39" s="226"/>
      <c r="O39" s="227"/>
    </row>
    <row r="40" spans="1:15" ht="36" customHeight="1" thickBot="1" x14ac:dyDescent="0.3">
      <c r="A40" s="170" t="s">
        <v>18</v>
      </c>
      <c r="B40" s="171"/>
      <c r="C40" s="171"/>
      <c r="D40" s="171"/>
      <c r="E40" s="171"/>
      <c r="F40" s="128" t="s">
        <v>16</v>
      </c>
      <c r="G40" s="140">
        <f>INDEX(Списки!B18:B19,MATCH(F40,Списки!A18:A19,0))</f>
        <v>1.1299999999999999</v>
      </c>
      <c r="H40" s="139">
        <f>G40</f>
        <v>1.1299999999999999</v>
      </c>
      <c r="J40" s="199"/>
      <c r="K40" s="120" t="s">
        <v>262</v>
      </c>
      <c r="L40" s="228"/>
      <c r="M40" s="228"/>
      <c r="N40" s="228"/>
      <c r="O40" s="229"/>
    </row>
    <row r="41" spans="1:15" x14ac:dyDescent="0.25">
      <c r="A41" s="167" t="s">
        <v>19</v>
      </c>
      <c r="B41" s="168"/>
      <c r="C41" s="168"/>
      <c r="D41" s="168"/>
      <c r="E41" s="168"/>
      <c r="F41" s="169"/>
      <c r="G41" s="139">
        <f xml:space="preserve"> 353 /(273 +0.5*(G23+$F$12))</f>
        <v>1.2475702420922425</v>
      </c>
      <c r="H41" s="139">
        <f xml:space="preserve"> 353 /(273 +0.5*(H23+$F$12))</f>
        <v>1.2475702420922425</v>
      </c>
    </row>
    <row r="42" spans="1:15" ht="26.25" customHeight="1" x14ac:dyDescent="0.25">
      <c r="A42" s="186" t="s">
        <v>329</v>
      </c>
      <c r="B42" s="187"/>
      <c r="C42" s="187"/>
      <c r="D42" s="187"/>
      <c r="E42" s="187"/>
      <c r="F42" s="188"/>
      <c r="G42" s="122">
        <v>0.8</v>
      </c>
      <c r="H42" s="136">
        <f>G42</f>
        <v>0.8</v>
      </c>
    </row>
    <row r="43" spans="1:15" ht="39.75" customHeight="1" thickBot="1" x14ac:dyDescent="0.3">
      <c r="A43" s="183" t="s">
        <v>263</v>
      </c>
      <c r="B43" s="184"/>
      <c r="C43" s="184"/>
      <c r="D43" s="184"/>
      <c r="E43" s="184"/>
      <c r="F43" s="245"/>
      <c r="G43" s="136">
        <f>IF(4*G27/G24&lt;=G25,Списки!B29,Списки!B28)</f>
        <v>1.1100000000000001</v>
      </c>
      <c r="H43" s="136">
        <f>G43</f>
        <v>1.1100000000000001</v>
      </c>
    </row>
    <row r="44" spans="1:15" ht="18.75" customHeight="1" thickBot="1" x14ac:dyDescent="0.3">
      <c r="A44" s="159" t="s">
        <v>35</v>
      </c>
      <c r="B44" s="160"/>
      <c r="C44" s="163" t="s">
        <v>228</v>
      </c>
      <c r="D44" s="163"/>
      <c r="E44" s="164"/>
      <c r="F44" s="129" t="s">
        <v>33</v>
      </c>
      <c r="G44" s="165">
        <f>INDEX(Списки!B32:B37,MATCH(F44,Списки!A32:A37,0))</f>
        <v>0.5</v>
      </c>
      <c r="H44" s="152">
        <f>INDEX(Списки!B32:B37,MATCH(F45,Списки!A32:A37,0))</f>
        <v>0.5</v>
      </c>
    </row>
    <row r="45" spans="1:15" ht="27" customHeight="1" thickBot="1" x14ac:dyDescent="0.3">
      <c r="A45" s="161"/>
      <c r="B45" s="162"/>
      <c r="C45" s="163" t="s">
        <v>229</v>
      </c>
      <c r="D45" s="163"/>
      <c r="E45" s="164"/>
      <c r="F45" s="129" t="s">
        <v>33</v>
      </c>
      <c r="G45" s="166"/>
      <c r="H45" s="153"/>
    </row>
    <row r="46" spans="1:15" ht="33.75" customHeight="1" x14ac:dyDescent="0.25">
      <c r="A46" s="183" t="s">
        <v>63</v>
      </c>
      <c r="B46" s="184"/>
      <c r="C46" s="184"/>
      <c r="D46" s="184"/>
      <c r="E46" s="184"/>
      <c r="F46" s="185"/>
      <c r="G46" s="139">
        <f>INDEX(Списки!$B$42:$B$67,MATCH($B$11,Списки!$A$42:$A$67,0))</f>
        <v>556.75</v>
      </c>
      <c r="H46" s="139">
        <f>G46</f>
        <v>556.75</v>
      </c>
    </row>
    <row r="47" spans="1:15" ht="20.25" customHeight="1" x14ac:dyDescent="0.25">
      <c r="A47" s="167" t="s">
        <v>328</v>
      </c>
      <c r="B47" s="168"/>
      <c r="C47" s="168"/>
      <c r="D47" s="168"/>
      <c r="E47" s="168"/>
      <c r="F47" s="172"/>
      <c r="G47" s="122">
        <v>0.67</v>
      </c>
      <c r="H47" s="136">
        <f>G47</f>
        <v>0.67</v>
      </c>
    </row>
    <row r="48" spans="1:15" ht="16.5" customHeight="1" x14ac:dyDescent="0.25">
      <c r="A48" s="167" t="s">
        <v>327</v>
      </c>
      <c r="B48" s="168"/>
      <c r="C48" s="168"/>
      <c r="D48" s="168"/>
      <c r="E48" s="168"/>
      <c r="F48" s="172"/>
      <c r="G48" s="122">
        <v>0.6</v>
      </c>
      <c r="H48" s="136">
        <f>G48</f>
        <v>0.6</v>
      </c>
    </row>
    <row r="49" spans="1:9" ht="26.25" customHeight="1" x14ac:dyDescent="0.25">
      <c r="A49" s="167" t="s">
        <v>326</v>
      </c>
      <c r="B49" s="168"/>
      <c r="C49" s="168"/>
      <c r="D49" s="168"/>
      <c r="E49" s="168"/>
      <c r="F49" s="172"/>
      <c r="G49" s="141">
        <f>G47*G48*G33*(G24*G25)*G46</f>
        <v>60429.645000000004</v>
      </c>
      <c r="H49" s="141">
        <f>H47*H48*H33*(H24*H25)*H46</f>
        <v>60429.645000000004</v>
      </c>
    </row>
    <row r="50" spans="1:9" x14ac:dyDescent="0.25">
      <c r="A50" s="167" t="s">
        <v>66</v>
      </c>
      <c r="B50" s="168"/>
      <c r="C50" s="168"/>
      <c r="D50" s="168"/>
      <c r="E50" s="168"/>
      <c r="F50" s="172"/>
      <c r="G50" s="122">
        <v>4.8</v>
      </c>
      <c r="H50" s="136">
        <f>G50</f>
        <v>4.8</v>
      </c>
    </row>
    <row r="51" spans="1:9" x14ac:dyDescent="0.25">
      <c r="A51" s="167" t="s">
        <v>337</v>
      </c>
      <c r="B51" s="168"/>
      <c r="C51" s="168"/>
      <c r="D51" s="168"/>
      <c r="E51" s="168"/>
      <c r="F51" s="172"/>
      <c r="G51" s="136">
        <f>G26*G25</f>
        <v>9000</v>
      </c>
      <c r="H51" s="136">
        <f>H26*H25</f>
        <v>9000</v>
      </c>
    </row>
    <row r="52" spans="1:9" ht="15" customHeight="1" x14ac:dyDescent="0.25">
      <c r="A52" s="167" t="s">
        <v>338</v>
      </c>
      <c r="B52" s="168"/>
      <c r="C52" s="168"/>
      <c r="D52" s="168"/>
      <c r="E52" s="168"/>
      <c r="F52" s="172"/>
      <c r="G52" s="136">
        <f>G26+G27+G24*G25</f>
        <v>2700</v>
      </c>
      <c r="H52" s="136">
        <f>G52</f>
        <v>2700</v>
      </c>
    </row>
    <row r="53" spans="1:9" x14ac:dyDescent="0.25">
      <c r="A53" s="167" t="s">
        <v>72</v>
      </c>
      <c r="B53" s="168"/>
      <c r="C53" s="168"/>
      <c r="D53" s="168"/>
      <c r="E53" s="168"/>
      <c r="F53" s="172"/>
      <c r="G53" s="136">
        <f>G28*G29</f>
        <v>270</v>
      </c>
      <c r="H53" s="136">
        <f>G53</f>
        <v>270</v>
      </c>
    </row>
    <row r="54" spans="1:9" ht="15" customHeight="1" x14ac:dyDescent="0.25">
      <c r="A54" s="167" t="s">
        <v>71</v>
      </c>
      <c r="B54" s="168"/>
      <c r="C54" s="168"/>
      <c r="D54" s="168"/>
      <c r="E54" s="168"/>
      <c r="F54" s="172"/>
      <c r="G54" s="136">
        <f>G24*G25-G53</f>
        <v>1830</v>
      </c>
      <c r="H54" s="136">
        <f>H24*H25-H53</f>
        <v>1830</v>
      </c>
    </row>
    <row r="55" spans="1:9" ht="15" customHeight="1" x14ac:dyDescent="0.25">
      <c r="A55" s="167" t="s">
        <v>67</v>
      </c>
      <c r="B55" s="168"/>
      <c r="C55" s="168"/>
      <c r="D55" s="168"/>
      <c r="E55" s="168"/>
      <c r="F55" s="172"/>
      <c r="G55" s="136">
        <f>G51/G50</f>
        <v>1875</v>
      </c>
      <c r="H55" s="136">
        <f>G55</f>
        <v>1875</v>
      </c>
    </row>
    <row r="56" spans="1:9" x14ac:dyDescent="0.25">
      <c r="A56" s="167" t="s">
        <v>68</v>
      </c>
      <c r="B56" s="168"/>
      <c r="C56" s="168"/>
      <c r="D56" s="168"/>
      <c r="E56" s="168"/>
      <c r="F56" s="172"/>
      <c r="G56" s="141">
        <f>IF(MATCH(F40,Списки!A18:A19,0)=1,10*G55/1000*24*$G$12,(90*G30+10*G55)/1000*G31*$G$12)</f>
        <v>79200</v>
      </c>
      <c r="H56" s="141">
        <f>IF(MATCH(G40,Списки!B18:B19,0)=1,10*H55/1000*24*$G$12,(90*H30+10*H55)/1000*H31*$G$12)</f>
        <v>79200</v>
      </c>
    </row>
    <row r="57" spans="1:9" x14ac:dyDescent="0.25">
      <c r="A57" s="167" t="s">
        <v>324</v>
      </c>
      <c r="B57" s="168"/>
      <c r="C57" s="168"/>
      <c r="D57" s="168"/>
      <c r="E57" s="168"/>
      <c r="F57" s="172"/>
      <c r="G57" s="142">
        <f>G40*(G26*G35*G38+G27*G36*G39+G54*G34+G53*G37)/G52</f>
        <v>1.7896055115330067</v>
      </c>
      <c r="H57" s="142">
        <f>H40*(H26*H35*H38+H27*H36*H39+H54*H34+H53*H37)/H52</f>
        <v>0.45699525038843714</v>
      </c>
    </row>
    <row r="58" spans="1:9" ht="30.75" customHeight="1" x14ac:dyDescent="0.25">
      <c r="A58" s="154" t="s">
        <v>325</v>
      </c>
      <c r="B58" s="155"/>
      <c r="C58" s="155"/>
      <c r="D58" s="155"/>
      <c r="E58" s="155"/>
      <c r="F58" s="156"/>
      <c r="G58" s="143">
        <f>0.278*1*G32*0.85*G51*G41*0.8/G52</f>
        <v>0.78613559521705867</v>
      </c>
      <c r="H58" s="143">
        <f>0.278*1*H32*0.85*H51*H41*0.8/H52</f>
        <v>0.78613559521705867</v>
      </c>
    </row>
    <row r="59" spans="1:9" x14ac:dyDescent="0.25">
      <c r="A59" s="167" t="s">
        <v>323</v>
      </c>
      <c r="B59" s="168"/>
      <c r="C59" s="168"/>
      <c r="D59" s="168"/>
      <c r="E59" s="168"/>
      <c r="F59" s="172"/>
      <c r="G59" s="141">
        <f>0.024*(G57+G58)*G52*$G$12*(G23-$F$12)/1000</f>
        <v>590.4538247026893</v>
      </c>
      <c r="H59" s="141">
        <f>0.024*(H57+H58)*H52*$G$12*(H23-$F$12)/1000</f>
        <v>284.97093922602733</v>
      </c>
    </row>
    <row r="60" spans="1:9" ht="28.5" customHeight="1" thickBot="1" x14ac:dyDescent="0.3">
      <c r="A60" s="176" t="s">
        <v>322</v>
      </c>
      <c r="B60" s="177"/>
      <c r="C60" s="177"/>
      <c r="D60" s="177"/>
      <c r="E60" s="177"/>
      <c r="F60" s="173"/>
      <c r="G60" s="144">
        <f>(G59*1000-(G56+G49)*G42*G44)*G43/1000</f>
        <v>593.40818303998515</v>
      </c>
      <c r="H60" s="144">
        <f>(H59*1000-(H56+H49)*H42*H44)*H43/1000</f>
        <v>254.32218016089035</v>
      </c>
    </row>
    <row r="61" spans="1:9" ht="15.75" thickBot="1" x14ac:dyDescent="0.3">
      <c r="A61" s="178" t="s">
        <v>292</v>
      </c>
      <c r="B61" s="179"/>
      <c r="C61" s="179"/>
      <c r="D61" s="179"/>
      <c r="E61" s="179"/>
      <c r="F61" s="180"/>
      <c r="G61" s="145">
        <f>IF(MATCH($B$13,Списки!$A$2:$A$3,0)=1,G60*3600/1000/4.19*$F$21/1000*1.2,G60/(1-$F$20)/($E$14*$F$16+$E$15*$F$17)*3600/1000/($E$14*$F$14+$E$15*$F$15)*($E$14*$F$18+$E$15*$F$19)/1000*1.2)</f>
        <v>2420.1745504375867</v>
      </c>
      <c r="H61" s="145">
        <f>IF(MATCH($B$13,Списки!$A$2:$A$3,0)=1,H60*3600/1000/4.19*$F$21/1000*1.2,H60/(1-$F$20)/($E$14*$F$16+$E$15*$F$17)*3600/1000/($E$14*$F$14+$E$15*$F$15)*($E$14*$F$18+$E$15*$F$19)/1000*1.2)</f>
        <v>1037.2355583032388</v>
      </c>
    </row>
    <row r="62" spans="1:9" x14ac:dyDescent="0.25">
      <c r="A62" s="181" t="s">
        <v>315</v>
      </c>
      <c r="B62" s="182"/>
      <c r="C62" s="182"/>
      <c r="D62" s="182"/>
      <c r="E62" s="182"/>
      <c r="F62" s="169"/>
      <c r="G62" s="147">
        <f>G61-H61</f>
        <v>1382.9389921343479</v>
      </c>
      <c r="H62" s="146">
        <f>1-H60/G60</f>
        <v>0.57142117781723689</v>
      </c>
    </row>
    <row r="63" spans="1:9" ht="26.25" x14ac:dyDescent="0.25">
      <c r="A63" s="233" t="s">
        <v>314</v>
      </c>
      <c r="B63" s="234"/>
      <c r="C63" s="234"/>
      <c r="D63" s="234"/>
      <c r="E63" s="234"/>
      <c r="F63" s="234"/>
      <c r="G63" s="234"/>
      <c r="H63" s="123" t="s">
        <v>339</v>
      </c>
      <c r="I63" s="282" t="s">
        <v>344</v>
      </c>
    </row>
    <row r="64" spans="1:9" ht="15" customHeight="1" x14ac:dyDescent="0.25">
      <c r="A64" s="231" t="s">
        <v>333</v>
      </c>
      <c r="B64" s="231"/>
      <c r="C64" s="231"/>
      <c r="D64" s="231"/>
      <c r="E64" s="231"/>
      <c r="F64" s="105" t="s">
        <v>317</v>
      </c>
      <c r="G64" s="141">
        <f>I64</f>
        <v>5323.2048800000002</v>
      </c>
      <c r="H64" s="111">
        <v>1</v>
      </c>
      <c r="I64" s="283">
        <f>((15.108*Терм_опір!F12*1000- 542.34)*(G53+G54)/1000+(6.1448*100+ 1470.5)*0.8*Розрахунок!G24/1000)*H64</f>
        <v>5323.2048800000002</v>
      </c>
    </row>
    <row r="65" spans="1:9" ht="15" customHeight="1" x14ac:dyDescent="0.25">
      <c r="A65" s="231"/>
      <c r="B65" s="231"/>
      <c r="C65" s="231"/>
      <c r="D65" s="231"/>
      <c r="E65" s="231"/>
      <c r="F65" s="105" t="s">
        <v>7</v>
      </c>
      <c r="G65" s="141">
        <f t="shared" ref="G65:G67" si="1">I65</f>
        <v>308.84626745999998</v>
      </c>
      <c r="H65" s="111">
        <v>1</v>
      </c>
      <c r="I65" s="283">
        <f>(533.600551-0.25126368*G26+2.856330556*Терм_опір!F26*1000)*G26/1000*H65</f>
        <v>308.84626745999998</v>
      </c>
    </row>
    <row r="66" spans="1:9" ht="15" customHeight="1" x14ac:dyDescent="0.25">
      <c r="A66" s="231"/>
      <c r="B66" s="231"/>
      <c r="C66" s="231"/>
      <c r="D66" s="231"/>
      <c r="E66" s="231"/>
      <c r="F66" s="105" t="s">
        <v>316</v>
      </c>
      <c r="G66" s="141">
        <f t="shared" si="1"/>
        <v>516.56700000000001</v>
      </c>
      <c r="H66" s="111">
        <v>1</v>
      </c>
      <c r="I66" s="283">
        <f>(1721.89)*Розрахунок!G27/1000*H66</f>
        <v>516.56700000000001</v>
      </c>
    </row>
    <row r="67" spans="1:9" ht="15" customHeight="1" x14ac:dyDescent="0.25">
      <c r="A67" s="231"/>
      <c r="B67" s="231"/>
      <c r="C67" s="231"/>
      <c r="D67" s="231"/>
      <c r="E67" s="231"/>
      <c r="F67" s="105" t="s">
        <v>264</v>
      </c>
      <c r="G67" s="141">
        <f t="shared" si="1"/>
        <v>887.03942774716609</v>
      </c>
      <c r="H67" s="111">
        <v>1</v>
      </c>
      <c r="I67" s="283">
        <f>(4156.2*G53^-0.042)*G53/1000*H67</f>
        <v>887.03942774716609</v>
      </c>
    </row>
    <row r="68" spans="1:9" x14ac:dyDescent="0.25">
      <c r="A68" s="231"/>
      <c r="B68" s="231"/>
      <c r="C68" s="231"/>
      <c r="D68" s="231"/>
      <c r="E68" s="231"/>
      <c r="F68" s="106" t="s">
        <v>265</v>
      </c>
      <c r="G68" s="148">
        <f>SUM(G64:G67)</f>
        <v>7035.6575752071658</v>
      </c>
    </row>
    <row r="69" spans="1:9" x14ac:dyDescent="0.25">
      <c r="A69" s="175" t="s">
        <v>266</v>
      </c>
      <c r="B69" s="175"/>
      <c r="C69" s="175"/>
      <c r="D69" s="175"/>
      <c r="E69" s="175"/>
      <c r="F69" s="175"/>
      <c r="G69" s="141">
        <f>I69</f>
        <v>1477.4880907935049</v>
      </c>
      <c r="H69" s="131">
        <v>1</v>
      </c>
      <c r="I69" s="283">
        <f>G68*0.21*H69</f>
        <v>1477.4880907935049</v>
      </c>
    </row>
    <row r="70" spans="1:9" x14ac:dyDescent="0.25">
      <c r="A70" s="175" t="s">
        <v>267</v>
      </c>
      <c r="B70" s="175"/>
      <c r="C70" s="175"/>
      <c r="D70" s="175"/>
      <c r="E70" s="175"/>
      <c r="F70" s="175"/>
      <c r="G70" s="141">
        <f t="shared" ref="G70:G72" si="2">I70</f>
        <v>255.39436998002009</v>
      </c>
      <c r="H70" s="131">
        <v>1</v>
      </c>
      <c r="I70" s="283">
        <f>0.03*(G68+G69)*H70</f>
        <v>255.39436998002009</v>
      </c>
    </row>
    <row r="71" spans="1:9" x14ac:dyDescent="0.25">
      <c r="A71" s="232" t="s">
        <v>269</v>
      </c>
      <c r="B71" s="232"/>
      <c r="C71" s="232"/>
      <c r="D71" s="232"/>
      <c r="E71" s="232"/>
      <c r="F71" s="232"/>
      <c r="G71" s="141">
        <f t="shared" si="2"/>
        <v>8768.5400359806899</v>
      </c>
      <c r="I71" s="283">
        <f>G68+G69+G70</f>
        <v>8768.5400359806899</v>
      </c>
    </row>
    <row r="72" spans="1:9" x14ac:dyDescent="0.25">
      <c r="A72" s="175" t="s">
        <v>268</v>
      </c>
      <c r="B72" s="175"/>
      <c r="C72" s="175"/>
      <c r="D72" s="175"/>
      <c r="E72" s="175"/>
      <c r="F72" s="175"/>
      <c r="G72" s="141">
        <f t="shared" si="2"/>
        <v>1753.7080071961382</v>
      </c>
      <c r="I72" s="283">
        <f>0.2*G71</f>
        <v>1753.7080071961382</v>
      </c>
    </row>
    <row r="73" spans="1:9" x14ac:dyDescent="0.25">
      <c r="A73" s="174" t="s">
        <v>340</v>
      </c>
      <c r="B73" s="174"/>
      <c r="C73" s="174"/>
      <c r="D73" s="174"/>
      <c r="E73" s="174"/>
      <c r="F73" s="130" t="s">
        <v>341</v>
      </c>
      <c r="G73" s="148">
        <f>G71+G72</f>
        <v>10522.248043176827</v>
      </c>
    </row>
    <row r="74" spans="1:9" x14ac:dyDescent="0.25">
      <c r="A74" s="174"/>
      <c r="B74" s="174"/>
      <c r="C74" s="174"/>
      <c r="D74" s="174"/>
      <c r="E74" s="174"/>
      <c r="F74" s="130" t="s">
        <v>342</v>
      </c>
      <c r="G74" s="148">
        <f>G73*1000/$F$9</f>
        <v>280593.28115138208</v>
      </c>
    </row>
    <row r="75" spans="1:9" x14ac:dyDescent="0.25">
      <c r="A75" s="107"/>
      <c r="B75" s="107"/>
      <c r="C75" s="107"/>
      <c r="D75" s="107"/>
      <c r="E75" s="107"/>
      <c r="F75" s="107"/>
      <c r="G75" s="108"/>
    </row>
    <row r="76" spans="1:9" x14ac:dyDescent="0.25">
      <c r="A76" s="230" t="s">
        <v>295</v>
      </c>
      <c r="B76" s="230"/>
      <c r="C76" s="230"/>
      <c r="D76" s="230"/>
      <c r="E76" s="230"/>
      <c r="F76" s="230"/>
      <c r="G76" s="230"/>
    </row>
    <row r="77" spans="1:9" x14ac:dyDescent="0.25">
      <c r="A77" s="167" t="s">
        <v>270</v>
      </c>
      <c r="B77" s="168"/>
      <c r="C77" s="168"/>
      <c r="D77" s="168"/>
      <c r="E77" s="168"/>
      <c r="F77" s="172"/>
      <c r="G77" s="149">
        <f>CashFlow!C18</f>
        <v>7.6086133249720564</v>
      </c>
    </row>
    <row r="78" spans="1:9" x14ac:dyDescent="0.25">
      <c r="A78" s="167" t="s">
        <v>277</v>
      </c>
      <c r="B78" s="168"/>
      <c r="C78" s="168"/>
      <c r="D78" s="168"/>
      <c r="E78" s="168"/>
      <c r="F78" s="172"/>
      <c r="G78" s="149">
        <f>CashFlow!C19</f>
        <v>15.01164282831202</v>
      </c>
    </row>
    <row r="79" spans="1:9" x14ac:dyDescent="0.25">
      <c r="A79" s="167" t="s">
        <v>290</v>
      </c>
      <c r="B79" s="168"/>
      <c r="C79" s="168"/>
      <c r="D79" s="168"/>
      <c r="E79" s="168"/>
      <c r="F79" s="172"/>
      <c r="G79" s="150">
        <f>CashFlow!C17</f>
        <v>0.12787475985887564</v>
      </c>
    </row>
    <row r="80" spans="1:9" x14ac:dyDescent="0.25">
      <c r="A80" s="167" t="s">
        <v>289</v>
      </c>
      <c r="B80" s="168"/>
      <c r="C80" s="168"/>
      <c r="D80" s="168"/>
      <c r="E80" s="168"/>
      <c r="F80" s="172"/>
      <c r="G80" s="149">
        <f>CashFlow!C16</f>
        <v>1904.9996581338576</v>
      </c>
    </row>
    <row r="81" spans="1:7" x14ac:dyDescent="0.25">
      <c r="A81" s="167" t="s">
        <v>321</v>
      </c>
      <c r="B81" s="168"/>
      <c r="C81" s="168"/>
      <c r="D81" s="168"/>
      <c r="E81" s="168"/>
      <c r="F81" s="172"/>
      <c r="G81" s="149">
        <f>G62*F10/G73</f>
        <v>3.9428998056107911</v>
      </c>
    </row>
    <row r="82" spans="1:7" x14ac:dyDescent="0.25">
      <c r="A82" s="167" t="s">
        <v>330</v>
      </c>
      <c r="B82" s="168"/>
      <c r="C82" s="168"/>
      <c r="D82" s="168"/>
      <c r="E82" s="168"/>
      <c r="F82" s="172"/>
      <c r="G82" s="149">
        <f>(G60-H60)/(1-$F$20)/($E$14*$F$16+$E$15*$F$17)*($E$14*INDEX(Списки!$C$7:$C$15,MATCH(B14,Списки!$A$7:$A$15,0))+$E$15*INDEX(Списки!$C$7:$C$15,MATCH(B15,Списки!$A$7:$A$15,0)))</f>
        <v>84.562188372317465</v>
      </c>
    </row>
    <row r="83" spans="1:7" x14ac:dyDescent="0.25">
      <c r="A83" s="167" t="s">
        <v>331</v>
      </c>
      <c r="B83" s="168"/>
      <c r="C83" s="168"/>
      <c r="D83" s="168"/>
      <c r="E83" s="168"/>
      <c r="F83" s="172"/>
      <c r="G83" s="149">
        <f>G82*F10/G73*1000</f>
        <v>241.09540478040333</v>
      </c>
    </row>
  </sheetData>
  <mergeCells count="86">
    <mergeCell ref="A63:G63"/>
    <mergeCell ref="A1:C6"/>
    <mergeCell ref="D1:E1"/>
    <mergeCell ref="D2:E2"/>
    <mergeCell ref="D3:E3"/>
    <mergeCell ref="D4:E4"/>
    <mergeCell ref="D5:E5"/>
    <mergeCell ref="D6:E6"/>
    <mergeCell ref="A7:F7"/>
    <mergeCell ref="A55:F55"/>
    <mergeCell ref="A31:F31"/>
    <mergeCell ref="A56:F56"/>
    <mergeCell ref="A43:F43"/>
    <mergeCell ref="A27:F27"/>
    <mergeCell ref="A26:F26"/>
    <mergeCell ref="B18:E18"/>
    <mergeCell ref="A81:F81"/>
    <mergeCell ref="A82:F82"/>
    <mergeCell ref="A83:F83"/>
    <mergeCell ref="J25:O29"/>
    <mergeCell ref="K30:O38"/>
    <mergeCell ref="J32:J35"/>
    <mergeCell ref="J38:J40"/>
    <mergeCell ref="L39:O40"/>
    <mergeCell ref="A78:F78"/>
    <mergeCell ref="A76:G76"/>
    <mergeCell ref="A64:E68"/>
    <mergeCell ref="A71:F71"/>
    <mergeCell ref="A79:F79"/>
    <mergeCell ref="A77:F77"/>
    <mergeCell ref="A52:F52"/>
    <mergeCell ref="A51:F51"/>
    <mergeCell ref="J22:O24"/>
    <mergeCell ref="A8:E8"/>
    <mergeCell ref="A10:E10"/>
    <mergeCell ref="B14:C14"/>
    <mergeCell ref="B15:C15"/>
    <mergeCell ref="A14:A15"/>
    <mergeCell ref="B17:E17"/>
    <mergeCell ref="A16:A20"/>
    <mergeCell ref="B19:E19"/>
    <mergeCell ref="A21:E21"/>
    <mergeCell ref="A22:F22"/>
    <mergeCell ref="B11:E12"/>
    <mergeCell ref="A11:A12"/>
    <mergeCell ref="B13:E13"/>
    <mergeCell ref="B16:E16"/>
    <mergeCell ref="B20:E20"/>
    <mergeCell ref="A73:E74"/>
    <mergeCell ref="A80:F80"/>
    <mergeCell ref="A54:F54"/>
    <mergeCell ref="A29:F29"/>
    <mergeCell ref="A69:F69"/>
    <mergeCell ref="A70:F70"/>
    <mergeCell ref="A72:F72"/>
    <mergeCell ref="A60:F60"/>
    <mergeCell ref="A61:F61"/>
    <mergeCell ref="A62:F62"/>
    <mergeCell ref="A57:F57"/>
    <mergeCell ref="A58:F58"/>
    <mergeCell ref="A59:F59"/>
    <mergeCell ref="A46:F46"/>
    <mergeCell ref="A42:F42"/>
    <mergeCell ref="A47:F47"/>
    <mergeCell ref="A53:F53"/>
    <mergeCell ref="A38:F38"/>
    <mergeCell ref="A39:F39"/>
    <mergeCell ref="A25:F25"/>
    <mergeCell ref="A33:F33"/>
    <mergeCell ref="A48:F48"/>
    <mergeCell ref="A30:F30"/>
    <mergeCell ref="A50:F50"/>
    <mergeCell ref="A49:F49"/>
    <mergeCell ref="A32:F32"/>
    <mergeCell ref="A9:E9"/>
    <mergeCell ref="H44:H45"/>
    <mergeCell ref="A28:F28"/>
    <mergeCell ref="A34:E37"/>
    <mergeCell ref="A44:B45"/>
    <mergeCell ref="C44:E44"/>
    <mergeCell ref="C45:E45"/>
    <mergeCell ref="G44:G45"/>
    <mergeCell ref="A41:F41"/>
    <mergeCell ref="A40:E40"/>
    <mergeCell ref="A23:F23"/>
    <mergeCell ref="A24:F24"/>
  </mergeCells>
  <conditionalFormatting sqref="G33:H33">
    <cfRule type="cellIs" dxfId="6" priority="1" operator="equal">
      <formula>"площа вікон більша за площу стін- перевірити розрахунок"</formula>
    </cfRule>
  </conditionalFormatting>
  <dataValidations count="5">
    <dataValidation allowBlank="1" showInputMessage="1" showErrorMessage="1" prompt="0.75-0.9" sqref="G38:H38"/>
    <dataValidation allowBlank="1" showInputMessage="1" showErrorMessage="1" prompt="0.5-0.7" sqref="G39:H39"/>
    <dataValidation allowBlank="1" showInputMessage="1" showErrorMessage="1" prompt="Природний газ, нові котли: 90-92%_x000a_Природний газ,старі котли: 86-89%_x000a_Природний газ,з утилізаторами теплоти ДГ: 95-105%_x000a_Твердопаливні котли з періодичним завантаженням: 75-82%_x000a_Твердопаливні котли з механічним завантаженням: 82-86%_x000a_Електрокотли: 97-99%" sqref="F16:F17"/>
    <dataValidation allowBlank="1" showInputMessage="1" showErrorMessage="1" prompt="Для твердих  палив-   грн/т_x000a_Для газу-                      грн/тис.м3_x000a_Для електроенергії-   грн/тис.кВт*год" sqref="F18:F19"/>
    <dataValidation allowBlank="1" showInputMessage="1" showErrorMessage="1" prompt="Мається на увазі частка у виробництві теплової енергії" sqref="E14"/>
  </dataValidations>
  <hyperlinks>
    <hyperlink ref="F34" location="Терм_опір!A4" display=" - стін"/>
    <hyperlink ref="F35" location="Терм_опір!A18" display=" - стелі верхнього поверху"/>
    <hyperlink ref="F36" location="Терм_опір!A34" display=" - підлоги нижнього поверху"/>
    <hyperlink ref="F37" location="Терм_опір!A50" display=" - вікон"/>
    <hyperlink ref="G21" location="'Тарифи ЦО'!A1" display="див. тарифи для населення та бюджетних установ тут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Списки!$A$18:$A$19</xm:f>
          </x14:formula1>
          <xm:sqref>F40</xm:sqref>
        </x14:dataValidation>
        <x14:dataValidation type="list" allowBlank="1" showInputMessage="1" showErrorMessage="1">
          <x14:formula1>
            <xm:f>Списки!$A$32:$A$37</xm:f>
          </x14:formula1>
          <xm:sqref>F44:F45</xm:sqref>
        </x14:dataValidation>
        <x14:dataValidation type="list" allowBlank="1" showInputMessage="1" showErrorMessage="1">
          <x14:formula1>
            <xm:f>Списки!$A$42:$A$67</xm:f>
          </x14:formula1>
          <xm:sqref>B11</xm:sqref>
        </x14:dataValidation>
        <x14:dataValidation type="list" allowBlank="1" showInputMessage="1" showErrorMessage="1">
          <x14:formula1>
            <xm:f>Списки!$A$2:$A$3</xm:f>
          </x14:formula1>
          <xm:sqref>B13:E13</xm:sqref>
        </x14:dataValidation>
        <x14:dataValidation type="list" allowBlank="1" showInputMessage="1" showErrorMessage="1">
          <x14:formula1>
            <xm:f>Списки!$A$7:$A$15</xm:f>
          </x14:formula1>
          <xm:sqref>B14:B15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>
    <tabColor rgb="FFFFC000"/>
    <pageSetUpPr fitToPage="1"/>
  </sheetPr>
  <dimension ref="B1:AG19"/>
  <sheetViews>
    <sheetView showGridLines="0" topLeftCell="A4" zoomScale="85" zoomScaleNormal="85" zoomScaleSheetLayoutView="100" workbookViewId="0">
      <pane xSplit="2" topLeftCell="C1" activePane="topRight" state="frozenSplit"/>
      <selection activeCell="D63" sqref="D63"/>
      <selection pane="topRight" activeCell="J24" sqref="J24"/>
    </sheetView>
  </sheetViews>
  <sheetFormatPr defaultRowHeight="12.75" outlineLevelRow="1" outlineLevelCol="2" x14ac:dyDescent="0.2"/>
  <cols>
    <col min="1" max="1" width="2.140625" style="53" customWidth="1"/>
    <col min="2" max="2" width="36.140625" style="53" customWidth="1"/>
    <col min="3" max="7" width="5.7109375" style="53" customWidth="1" outlineLevel="2"/>
    <col min="8" max="33" width="5.7109375" style="53" customWidth="1"/>
    <col min="34" max="16384" width="9.140625" style="53"/>
  </cols>
  <sheetData>
    <row r="1" spans="2:33" ht="13.5" thickBot="1" x14ac:dyDescent="0.25">
      <c r="B1" s="56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2:33" ht="15" customHeight="1" x14ac:dyDescent="0.2">
      <c r="B2" s="246" t="s">
        <v>288</v>
      </c>
      <c r="C2" s="248" t="s">
        <v>271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50"/>
    </row>
    <row r="3" spans="2:33" x14ac:dyDescent="0.2">
      <c r="B3" s="247"/>
      <c r="C3" s="57">
        <v>0</v>
      </c>
      <c r="D3" s="58">
        <f t="shared" ref="D3:R3" si="0">C3+1</f>
        <v>1</v>
      </c>
      <c r="E3" s="58">
        <f t="shared" si="0"/>
        <v>2</v>
      </c>
      <c r="F3" s="58">
        <f t="shared" si="0"/>
        <v>3</v>
      </c>
      <c r="G3" s="58">
        <f t="shared" si="0"/>
        <v>4</v>
      </c>
      <c r="H3" s="58">
        <f t="shared" si="0"/>
        <v>5</v>
      </c>
      <c r="I3" s="58">
        <f t="shared" si="0"/>
        <v>6</v>
      </c>
      <c r="J3" s="58">
        <f t="shared" si="0"/>
        <v>7</v>
      </c>
      <c r="K3" s="58">
        <f t="shared" si="0"/>
        <v>8</v>
      </c>
      <c r="L3" s="58">
        <f t="shared" si="0"/>
        <v>9</v>
      </c>
      <c r="M3" s="58">
        <f t="shared" si="0"/>
        <v>10</v>
      </c>
      <c r="N3" s="58">
        <f t="shared" si="0"/>
        <v>11</v>
      </c>
      <c r="O3" s="58">
        <f t="shared" si="0"/>
        <v>12</v>
      </c>
      <c r="P3" s="58">
        <f t="shared" si="0"/>
        <v>13</v>
      </c>
      <c r="Q3" s="58">
        <f t="shared" si="0"/>
        <v>14</v>
      </c>
      <c r="R3" s="58">
        <f t="shared" si="0"/>
        <v>15</v>
      </c>
      <c r="S3" s="58">
        <f t="shared" ref="S3:AG3" si="1">R3+1</f>
        <v>16</v>
      </c>
      <c r="T3" s="58">
        <f t="shared" si="1"/>
        <v>17</v>
      </c>
      <c r="U3" s="58">
        <f t="shared" si="1"/>
        <v>18</v>
      </c>
      <c r="V3" s="58">
        <f t="shared" si="1"/>
        <v>19</v>
      </c>
      <c r="W3" s="58">
        <f t="shared" si="1"/>
        <v>20</v>
      </c>
      <c r="X3" s="58">
        <f t="shared" si="1"/>
        <v>21</v>
      </c>
      <c r="Y3" s="58">
        <f t="shared" si="1"/>
        <v>22</v>
      </c>
      <c r="Z3" s="58">
        <f t="shared" si="1"/>
        <v>23</v>
      </c>
      <c r="AA3" s="58">
        <f t="shared" si="1"/>
        <v>24</v>
      </c>
      <c r="AB3" s="58">
        <f t="shared" si="1"/>
        <v>25</v>
      </c>
      <c r="AC3" s="58">
        <f t="shared" si="1"/>
        <v>26</v>
      </c>
      <c r="AD3" s="58">
        <f t="shared" si="1"/>
        <v>27</v>
      </c>
      <c r="AE3" s="58">
        <f t="shared" si="1"/>
        <v>28</v>
      </c>
      <c r="AF3" s="58">
        <f t="shared" si="1"/>
        <v>29</v>
      </c>
      <c r="AG3" s="59">
        <f t="shared" si="1"/>
        <v>30</v>
      </c>
    </row>
    <row r="4" spans="2:33" ht="24" customHeight="1" x14ac:dyDescent="0.2">
      <c r="B4" s="60" t="s">
        <v>283</v>
      </c>
      <c r="C4" s="61">
        <f>Розрахунок!G73/1.2</f>
        <v>8768.5400359806899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3"/>
    </row>
    <row r="5" spans="2:33" x14ac:dyDescent="0.2">
      <c r="B5" s="60" t="s">
        <v>284</v>
      </c>
      <c r="C5" s="64">
        <v>0</v>
      </c>
      <c r="D5" s="62">
        <f>Розрахунок!G62/1.2</f>
        <v>1152.4491601119566</v>
      </c>
      <c r="E5" s="62">
        <f>D5</f>
        <v>1152.4491601119566</v>
      </c>
      <c r="F5" s="62">
        <f t="shared" ref="F5:R5" si="2">E5</f>
        <v>1152.4491601119566</v>
      </c>
      <c r="G5" s="62">
        <f t="shared" si="2"/>
        <v>1152.4491601119566</v>
      </c>
      <c r="H5" s="62">
        <f t="shared" si="2"/>
        <v>1152.4491601119566</v>
      </c>
      <c r="I5" s="62">
        <f t="shared" si="2"/>
        <v>1152.4491601119566</v>
      </c>
      <c r="J5" s="62">
        <f t="shared" si="2"/>
        <v>1152.4491601119566</v>
      </c>
      <c r="K5" s="62">
        <f t="shared" si="2"/>
        <v>1152.4491601119566</v>
      </c>
      <c r="L5" s="62">
        <f t="shared" si="2"/>
        <v>1152.4491601119566</v>
      </c>
      <c r="M5" s="62">
        <f t="shared" si="2"/>
        <v>1152.4491601119566</v>
      </c>
      <c r="N5" s="62">
        <f t="shared" si="2"/>
        <v>1152.4491601119566</v>
      </c>
      <c r="O5" s="62">
        <f t="shared" si="2"/>
        <v>1152.4491601119566</v>
      </c>
      <c r="P5" s="62">
        <f>O5</f>
        <v>1152.4491601119566</v>
      </c>
      <c r="Q5" s="62">
        <f t="shared" si="2"/>
        <v>1152.4491601119566</v>
      </c>
      <c r="R5" s="62">
        <f t="shared" si="2"/>
        <v>1152.4491601119566</v>
      </c>
      <c r="S5" s="62">
        <f>R5</f>
        <v>1152.4491601119566</v>
      </c>
      <c r="T5" s="62">
        <f>S5</f>
        <v>1152.4491601119566</v>
      </c>
      <c r="U5" s="62">
        <f>T5</f>
        <v>1152.4491601119566</v>
      </c>
      <c r="V5" s="62">
        <f>U5</f>
        <v>1152.4491601119566</v>
      </c>
      <c r="W5" s="62">
        <f>V5</f>
        <v>1152.4491601119566</v>
      </c>
      <c r="X5" s="62">
        <f t="shared" ref="X5:AG5" si="3">W5</f>
        <v>1152.4491601119566</v>
      </c>
      <c r="Y5" s="62">
        <f t="shared" si="3"/>
        <v>1152.4491601119566</v>
      </c>
      <c r="Z5" s="62">
        <f t="shared" si="3"/>
        <v>1152.4491601119566</v>
      </c>
      <c r="AA5" s="62">
        <f t="shared" si="3"/>
        <v>1152.4491601119566</v>
      </c>
      <c r="AB5" s="62">
        <f t="shared" si="3"/>
        <v>1152.4491601119566</v>
      </c>
      <c r="AC5" s="62">
        <f t="shared" si="3"/>
        <v>1152.4491601119566</v>
      </c>
      <c r="AD5" s="62">
        <f t="shared" si="3"/>
        <v>1152.4491601119566</v>
      </c>
      <c r="AE5" s="62">
        <f t="shared" si="3"/>
        <v>1152.4491601119566</v>
      </c>
      <c r="AF5" s="62">
        <f t="shared" si="3"/>
        <v>1152.4491601119566</v>
      </c>
      <c r="AG5" s="63">
        <f t="shared" si="3"/>
        <v>1152.4491601119566</v>
      </c>
    </row>
    <row r="6" spans="2:33" x14ac:dyDescent="0.2">
      <c r="B6" s="60" t="s">
        <v>278</v>
      </c>
      <c r="C6" s="61">
        <f>C5-C4</f>
        <v>-8768.5400359806899</v>
      </c>
      <c r="D6" s="65">
        <f t="shared" ref="D6:AG6" si="4">D5-D4</f>
        <v>1152.4491601119566</v>
      </c>
      <c r="E6" s="65">
        <f t="shared" si="4"/>
        <v>1152.4491601119566</v>
      </c>
      <c r="F6" s="65">
        <f t="shared" si="4"/>
        <v>1152.4491601119566</v>
      </c>
      <c r="G6" s="65">
        <f t="shared" si="4"/>
        <v>1152.4491601119566</v>
      </c>
      <c r="H6" s="65">
        <f t="shared" si="4"/>
        <v>1152.4491601119566</v>
      </c>
      <c r="I6" s="65">
        <f t="shared" si="4"/>
        <v>1152.4491601119566</v>
      </c>
      <c r="J6" s="65">
        <f t="shared" si="4"/>
        <v>1152.4491601119566</v>
      </c>
      <c r="K6" s="65">
        <f t="shared" si="4"/>
        <v>1152.4491601119566</v>
      </c>
      <c r="L6" s="65">
        <f t="shared" si="4"/>
        <v>1152.4491601119566</v>
      </c>
      <c r="M6" s="65">
        <f t="shared" si="4"/>
        <v>1152.4491601119566</v>
      </c>
      <c r="N6" s="65">
        <f t="shared" si="4"/>
        <v>1152.4491601119566</v>
      </c>
      <c r="O6" s="65">
        <f t="shared" si="4"/>
        <v>1152.4491601119566</v>
      </c>
      <c r="P6" s="65">
        <f t="shared" si="4"/>
        <v>1152.4491601119566</v>
      </c>
      <c r="Q6" s="65">
        <f t="shared" si="4"/>
        <v>1152.4491601119566</v>
      </c>
      <c r="R6" s="65">
        <f t="shared" si="4"/>
        <v>1152.4491601119566</v>
      </c>
      <c r="S6" s="65">
        <f t="shared" si="4"/>
        <v>1152.4491601119566</v>
      </c>
      <c r="T6" s="65">
        <f t="shared" si="4"/>
        <v>1152.4491601119566</v>
      </c>
      <c r="U6" s="65">
        <f t="shared" si="4"/>
        <v>1152.4491601119566</v>
      </c>
      <c r="V6" s="65">
        <f t="shared" si="4"/>
        <v>1152.4491601119566</v>
      </c>
      <c r="W6" s="65">
        <f t="shared" si="4"/>
        <v>1152.4491601119566</v>
      </c>
      <c r="X6" s="65">
        <f t="shared" si="4"/>
        <v>1152.4491601119566</v>
      </c>
      <c r="Y6" s="65">
        <f t="shared" si="4"/>
        <v>1152.4491601119566</v>
      </c>
      <c r="Z6" s="65">
        <f t="shared" si="4"/>
        <v>1152.4491601119566</v>
      </c>
      <c r="AA6" s="65">
        <f t="shared" si="4"/>
        <v>1152.4491601119566</v>
      </c>
      <c r="AB6" s="65">
        <f t="shared" si="4"/>
        <v>1152.4491601119566</v>
      </c>
      <c r="AC6" s="65">
        <f t="shared" si="4"/>
        <v>1152.4491601119566</v>
      </c>
      <c r="AD6" s="65">
        <f t="shared" si="4"/>
        <v>1152.4491601119566</v>
      </c>
      <c r="AE6" s="65">
        <f t="shared" si="4"/>
        <v>1152.4491601119566</v>
      </c>
      <c r="AF6" s="65">
        <f t="shared" si="4"/>
        <v>1152.4491601119566</v>
      </c>
      <c r="AG6" s="66">
        <f t="shared" si="4"/>
        <v>1152.4491601119566</v>
      </c>
    </row>
    <row r="7" spans="2:33" x14ac:dyDescent="0.2">
      <c r="B7" s="60" t="s">
        <v>279</v>
      </c>
      <c r="C7" s="61">
        <f>C6</f>
        <v>-8768.5400359806899</v>
      </c>
      <c r="D7" s="65">
        <f>(C7+D6)</f>
        <v>-7616.0908758687328</v>
      </c>
      <c r="E7" s="65">
        <f t="shared" ref="E7:AG7" si="5">(D7+E6)</f>
        <v>-6463.6417157567757</v>
      </c>
      <c r="F7" s="65">
        <f t="shared" si="5"/>
        <v>-5311.1925556448186</v>
      </c>
      <c r="G7" s="65">
        <f t="shared" si="5"/>
        <v>-4158.7433955328615</v>
      </c>
      <c r="H7" s="65">
        <f t="shared" si="5"/>
        <v>-3006.2942354209049</v>
      </c>
      <c r="I7" s="65">
        <f t="shared" si="5"/>
        <v>-1853.8450753089483</v>
      </c>
      <c r="J7" s="65">
        <f t="shared" si="5"/>
        <v>-701.39591519699161</v>
      </c>
      <c r="K7" s="65">
        <f t="shared" si="5"/>
        <v>451.05324491496503</v>
      </c>
      <c r="L7" s="65">
        <f t="shared" si="5"/>
        <v>1603.5024050269217</v>
      </c>
      <c r="M7" s="65">
        <f t="shared" si="5"/>
        <v>2755.9515651388783</v>
      </c>
      <c r="N7" s="65">
        <f t="shared" si="5"/>
        <v>3908.400725250835</v>
      </c>
      <c r="O7" s="65">
        <f t="shared" si="5"/>
        <v>5060.8498853627916</v>
      </c>
      <c r="P7" s="65">
        <f t="shared" si="5"/>
        <v>6213.2990454747487</v>
      </c>
      <c r="Q7" s="65">
        <f t="shared" si="5"/>
        <v>7365.7482055867058</v>
      </c>
      <c r="R7" s="65">
        <f t="shared" si="5"/>
        <v>8518.1973656986629</v>
      </c>
      <c r="S7" s="65">
        <f t="shared" si="5"/>
        <v>9670.64652581062</v>
      </c>
      <c r="T7" s="65">
        <f t="shared" si="5"/>
        <v>10823.095685922577</v>
      </c>
      <c r="U7" s="65">
        <f t="shared" si="5"/>
        <v>11975.544846034534</v>
      </c>
      <c r="V7" s="65">
        <f t="shared" si="5"/>
        <v>13127.994006146491</v>
      </c>
      <c r="W7" s="65">
        <f t="shared" si="5"/>
        <v>14280.443166258448</v>
      </c>
      <c r="X7" s="65">
        <f t="shared" si="5"/>
        <v>15432.892326370405</v>
      </c>
      <c r="Y7" s="65">
        <f t="shared" si="5"/>
        <v>16585.341486482361</v>
      </c>
      <c r="Z7" s="65">
        <f t="shared" si="5"/>
        <v>17737.790646594316</v>
      </c>
      <c r="AA7" s="65">
        <f t="shared" si="5"/>
        <v>18890.239806706271</v>
      </c>
      <c r="AB7" s="65">
        <f t="shared" si="5"/>
        <v>20042.688966818227</v>
      </c>
      <c r="AC7" s="65">
        <f t="shared" si="5"/>
        <v>21195.138126930182</v>
      </c>
      <c r="AD7" s="65">
        <f t="shared" si="5"/>
        <v>22347.587287042137</v>
      </c>
      <c r="AE7" s="65">
        <f t="shared" si="5"/>
        <v>23500.036447154092</v>
      </c>
      <c r="AF7" s="65">
        <f t="shared" si="5"/>
        <v>24652.485607266048</v>
      </c>
      <c r="AG7" s="66">
        <f t="shared" si="5"/>
        <v>25804.934767378003</v>
      </c>
    </row>
    <row r="8" spans="2:33" hidden="1" outlineLevel="1" x14ac:dyDescent="0.2">
      <c r="B8" s="67" t="s">
        <v>270</v>
      </c>
      <c r="C8" s="68"/>
      <c r="D8" s="69">
        <f t="shared" ref="D8:R8" si="6">IF(AND(C7&lt;0,D7&gt;=0),C3-C7/D6,0)</f>
        <v>0</v>
      </c>
      <c r="E8" s="69">
        <f t="shared" si="6"/>
        <v>0</v>
      </c>
      <c r="F8" s="69">
        <f t="shared" si="6"/>
        <v>0</v>
      </c>
      <c r="G8" s="69">
        <f t="shared" si="6"/>
        <v>0</v>
      </c>
      <c r="H8" s="69">
        <f t="shared" si="6"/>
        <v>0</v>
      </c>
      <c r="I8" s="69">
        <f t="shared" si="6"/>
        <v>0</v>
      </c>
      <c r="J8" s="69">
        <f t="shared" si="6"/>
        <v>0</v>
      </c>
      <c r="K8" s="69">
        <f t="shared" si="6"/>
        <v>7.6086133249720564</v>
      </c>
      <c r="L8" s="69">
        <f t="shared" si="6"/>
        <v>0</v>
      </c>
      <c r="M8" s="69">
        <f t="shared" si="6"/>
        <v>0</v>
      </c>
      <c r="N8" s="69">
        <f t="shared" si="6"/>
        <v>0</v>
      </c>
      <c r="O8" s="69">
        <f t="shared" si="6"/>
        <v>0</v>
      </c>
      <c r="P8" s="69">
        <f t="shared" si="6"/>
        <v>0</v>
      </c>
      <c r="Q8" s="69">
        <f t="shared" si="6"/>
        <v>0</v>
      </c>
      <c r="R8" s="69">
        <f t="shared" si="6"/>
        <v>0</v>
      </c>
      <c r="S8" s="69">
        <f t="shared" ref="S8:AG8" si="7">IF(AND(R7&lt;0,S7&gt;=0),R3-R7/S6,0)</f>
        <v>0</v>
      </c>
      <c r="T8" s="69">
        <f t="shared" si="7"/>
        <v>0</v>
      </c>
      <c r="U8" s="69">
        <f t="shared" si="7"/>
        <v>0</v>
      </c>
      <c r="V8" s="69">
        <f t="shared" si="7"/>
        <v>0</v>
      </c>
      <c r="W8" s="69">
        <f t="shared" si="7"/>
        <v>0</v>
      </c>
      <c r="X8" s="69">
        <f t="shared" si="7"/>
        <v>0</v>
      </c>
      <c r="Y8" s="69">
        <f t="shared" si="7"/>
        <v>0</v>
      </c>
      <c r="Z8" s="69">
        <f t="shared" si="7"/>
        <v>0</v>
      </c>
      <c r="AA8" s="69">
        <f t="shared" si="7"/>
        <v>0</v>
      </c>
      <c r="AB8" s="69">
        <f t="shared" si="7"/>
        <v>0</v>
      </c>
      <c r="AC8" s="69">
        <f t="shared" si="7"/>
        <v>0</v>
      </c>
      <c r="AD8" s="69">
        <f t="shared" si="7"/>
        <v>0</v>
      </c>
      <c r="AE8" s="69">
        <f t="shared" si="7"/>
        <v>0</v>
      </c>
      <c r="AF8" s="69">
        <f t="shared" si="7"/>
        <v>0</v>
      </c>
      <c r="AG8" s="70">
        <f t="shared" si="7"/>
        <v>0</v>
      </c>
    </row>
    <row r="9" spans="2:33" collapsed="1" x14ac:dyDescent="0.2">
      <c r="B9" s="67" t="s">
        <v>270</v>
      </c>
      <c r="C9" s="68"/>
      <c r="D9" s="71" t="str">
        <f>IF(D8&gt;0,D8," ")</f>
        <v xml:space="preserve"> </v>
      </c>
      <c r="E9" s="71" t="str">
        <f t="shared" ref="E9:Q9" si="8">IF(E8&gt;0,E8," ")</f>
        <v xml:space="preserve"> </v>
      </c>
      <c r="F9" s="71" t="str">
        <f t="shared" si="8"/>
        <v xml:space="preserve"> </v>
      </c>
      <c r="G9" s="71" t="str">
        <f t="shared" si="8"/>
        <v xml:space="preserve"> </v>
      </c>
      <c r="H9" s="71" t="str">
        <f t="shared" si="8"/>
        <v xml:space="preserve"> </v>
      </c>
      <c r="I9" s="71" t="str">
        <f t="shared" si="8"/>
        <v xml:space="preserve"> </v>
      </c>
      <c r="J9" s="71" t="str">
        <f t="shared" si="8"/>
        <v xml:space="preserve"> </v>
      </c>
      <c r="K9" s="71">
        <f t="shared" si="8"/>
        <v>7.6086133249720564</v>
      </c>
      <c r="L9" s="71" t="str">
        <f t="shared" si="8"/>
        <v xml:space="preserve"> </v>
      </c>
      <c r="M9" s="71" t="str">
        <f t="shared" si="8"/>
        <v xml:space="preserve"> </v>
      </c>
      <c r="N9" s="71" t="str">
        <f t="shared" si="8"/>
        <v xml:space="preserve"> </v>
      </c>
      <c r="O9" s="71" t="str">
        <f t="shared" si="8"/>
        <v xml:space="preserve"> </v>
      </c>
      <c r="P9" s="71" t="str">
        <f t="shared" si="8"/>
        <v xml:space="preserve"> </v>
      </c>
      <c r="Q9" s="71" t="str">
        <f t="shared" si="8"/>
        <v xml:space="preserve"> </v>
      </c>
      <c r="R9" s="71" t="str">
        <f t="shared" ref="R9:AG9" si="9">IF(R8&gt;0,R8," ")</f>
        <v xml:space="preserve"> </v>
      </c>
      <c r="S9" s="71" t="str">
        <f t="shared" si="9"/>
        <v xml:space="preserve"> </v>
      </c>
      <c r="T9" s="71" t="str">
        <f t="shared" si="9"/>
        <v xml:space="preserve"> </v>
      </c>
      <c r="U9" s="71" t="str">
        <f t="shared" si="9"/>
        <v xml:space="preserve"> </v>
      </c>
      <c r="V9" s="71" t="str">
        <f t="shared" si="9"/>
        <v xml:space="preserve"> </v>
      </c>
      <c r="W9" s="71" t="str">
        <f t="shared" si="9"/>
        <v xml:space="preserve"> </v>
      </c>
      <c r="X9" s="71" t="str">
        <f t="shared" si="9"/>
        <v xml:space="preserve"> </v>
      </c>
      <c r="Y9" s="71" t="str">
        <f t="shared" si="9"/>
        <v xml:space="preserve"> </v>
      </c>
      <c r="Z9" s="71" t="str">
        <f t="shared" si="9"/>
        <v xml:space="preserve"> </v>
      </c>
      <c r="AA9" s="71" t="str">
        <f t="shared" si="9"/>
        <v xml:space="preserve"> </v>
      </c>
      <c r="AB9" s="71" t="str">
        <f t="shared" si="9"/>
        <v xml:space="preserve"> </v>
      </c>
      <c r="AC9" s="71" t="str">
        <f t="shared" si="9"/>
        <v xml:space="preserve"> </v>
      </c>
      <c r="AD9" s="71" t="str">
        <f t="shared" si="9"/>
        <v xml:space="preserve"> </v>
      </c>
      <c r="AE9" s="71" t="str">
        <f t="shared" si="9"/>
        <v xml:space="preserve"> </v>
      </c>
      <c r="AF9" s="71" t="str">
        <f t="shared" si="9"/>
        <v xml:space="preserve"> </v>
      </c>
      <c r="AG9" s="72" t="str">
        <f t="shared" si="9"/>
        <v xml:space="preserve"> </v>
      </c>
    </row>
    <row r="10" spans="2:33" x14ac:dyDescent="0.2">
      <c r="B10" s="73" t="s">
        <v>272</v>
      </c>
      <c r="C10" s="74">
        <v>1</v>
      </c>
      <c r="D10" s="75">
        <f>C10/(1+Розрахунок!$F$8)</f>
        <v>0.90909090909090906</v>
      </c>
      <c r="E10" s="75">
        <f>D10/(1+Розрахунок!$F$8)</f>
        <v>0.82644628099173545</v>
      </c>
      <c r="F10" s="75">
        <f>E10/(1+Розрахунок!$F$8)</f>
        <v>0.75131480090157765</v>
      </c>
      <c r="G10" s="75">
        <f>F10/(1+Розрахунок!$F$8)</f>
        <v>0.68301345536507052</v>
      </c>
      <c r="H10" s="75">
        <f>G10/(1+Розрахунок!$F$8)</f>
        <v>0.62092132305915493</v>
      </c>
      <c r="I10" s="75">
        <f>H10/(1+Розрахунок!$F$8)</f>
        <v>0.56447393005377711</v>
      </c>
      <c r="J10" s="75">
        <f>I10/(1+Розрахунок!$F$8)</f>
        <v>0.51315811823070645</v>
      </c>
      <c r="K10" s="75">
        <f>J10/(1+Розрахунок!$F$8)</f>
        <v>0.46650738020973309</v>
      </c>
      <c r="L10" s="75">
        <f>K10/(1+Розрахунок!$F$8)</f>
        <v>0.42409761837248461</v>
      </c>
      <c r="M10" s="75">
        <f>L10/(1+Розрахунок!$F$8)</f>
        <v>0.38554328942953142</v>
      </c>
      <c r="N10" s="75">
        <f>M10/(1+Розрахунок!$F$8)</f>
        <v>0.35049389948139215</v>
      </c>
      <c r="O10" s="75">
        <f>N10/(1+Розрахунок!$F$8)</f>
        <v>0.31863081771035645</v>
      </c>
      <c r="P10" s="75">
        <f>O10/(1+Розрахунок!$F$8)</f>
        <v>0.28966437973668768</v>
      </c>
      <c r="Q10" s="75">
        <f>P10/(1+Розрахунок!$F$8)</f>
        <v>0.26333125430607968</v>
      </c>
      <c r="R10" s="75">
        <f>Q10/(1+Розрахунок!$F$8)</f>
        <v>0.23939204936916333</v>
      </c>
      <c r="S10" s="75">
        <f>R10/(1+Розрахунок!$F$8)</f>
        <v>0.21762913579014848</v>
      </c>
      <c r="T10" s="75">
        <f>S10/(1+Розрахунок!$F$8)</f>
        <v>0.19784466890013497</v>
      </c>
      <c r="U10" s="75">
        <f>T10/(1+Розрахунок!$F$8)</f>
        <v>0.17985878990921358</v>
      </c>
      <c r="V10" s="75">
        <f>U10/(1+Розрахунок!$F$8)</f>
        <v>0.16350799082655779</v>
      </c>
      <c r="W10" s="75">
        <f>V10/(1+Розрахунок!$F$8)</f>
        <v>0.14864362802414344</v>
      </c>
      <c r="X10" s="75">
        <f>W10/(1+Розрахунок!$F$8)</f>
        <v>0.13513057093103947</v>
      </c>
      <c r="Y10" s="75">
        <f>X10/(1+Розрахунок!$F$8)</f>
        <v>0.12284597357367223</v>
      </c>
      <c r="Z10" s="75">
        <f>Y10/(1+Розрахунок!$F$8)</f>
        <v>0.11167815779424747</v>
      </c>
      <c r="AA10" s="75">
        <f>Z10/(1+Розрахунок!$F$8)</f>
        <v>0.10152559799477043</v>
      </c>
      <c r="AB10" s="75">
        <f>AA10/(1+Розрахунок!$F$8)</f>
        <v>9.229599817706402E-2</v>
      </c>
      <c r="AC10" s="75">
        <f>AB10/(1+Розрахунок!$F$8)</f>
        <v>8.3905452888240015E-2</v>
      </c>
      <c r="AD10" s="75">
        <f>AC10/(1+Розрахунок!$F$8)</f>
        <v>7.6277684443854549E-2</v>
      </c>
      <c r="AE10" s="75">
        <f>AD10/(1+Розрахунок!$F$8)</f>
        <v>6.9343349494413217E-2</v>
      </c>
      <c r="AF10" s="75">
        <f>AE10/(1+Розрахунок!$F$8)</f>
        <v>6.3039408631284738E-2</v>
      </c>
      <c r="AG10" s="75">
        <f>AF10/(1+Розрахунок!$F$8)</f>
        <v>5.7308553301167936E-2</v>
      </c>
    </row>
    <row r="11" spans="2:33" ht="24" x14ac:dyDescent="0.2">
      <c r="B11" s="76" t="s">
        <v>280</v>
      </c>
      <c r="C11" s="74"/>
      <c r="D11" s="62">
        <f>D6*D10</f>
        <v>1047.6810546472332</v>
      </c>
      <c r="E11" s="62">
        <f t="shared" ref="E11:Q11" si="10">E6*E10</f>
        <v>952.43732240657562</v>
      </c>
      <c r="F11" s="62">
        <f t="shared" si="10"/>
        <v>865.85211127870514</v>
      </c>
      <c r="G11" s="62">
        <f t="shared" si="10"/>
        <v>787.13828298064095</v>
      </c>
      <c r="H11" s="62">
        <f t="shared" si="10"/>
        <v>715.580257255128</v>
      </c>
      <c r="I11" s="62">
        <f t="shared" si="10"/>
        <v>650.5275065955708</v>
      </c>
      <c r="J11" s="62">
        <f t="shared" si="10"/>
        <v>591.38864235960978</v>
      </c>
      <c r="K11" s="62">
        <f t="shared" si="10"/>
        <v>537.62603850873609</v>
      </c>
      <c r="L11" s="77">
        <f t="shared" si="10"/>
        <v>488.75094409885099</v>
      </c>
      <c r="M11" s="77">
        <f t="shared" si="10"/>
        <v>444.31904008986447</v>
      </c>
      <c r="N11" s="77">
        <f t="shared" si="10"/>
        <v>403.92640008169491</v>
      </c>
      <c r="O11" s="77">
        <f t="shared" si="10"/>
        <v>367.20581825608627</v>
      </c>
      <c r="P11" s="77">
        <f t="shared" si="10"/>
        <v>333.82347114189662</v>
      </c>
      <c r="Q11" s="77">
        <f t="shared" si="10"/>
        <v>303.47588285626961</v>
      </c>
      <c r="R11" s="77">
        <f t="shared" ref="R11:AG11" si="11">R6*R10</f>
        <v>275.88716623297233</v>
      </c>
      <c r="S11" s="77">
        <f t="shared" si="11"/>
        <v>250.80651475724758</v>
      </c>
      <c r="T11" s="77">
        <f t="shared" si="11"/>
        <v>228.00592250658869</v>
      </c>
      <c r="U11" s="77">
        <f t="shared" si="11"/>
        <v>207.27811136962606</v>
      </c>
      <c r="V11" s="77">
        <f t="shared" si="11"/>
        <v>188.43464669966002</v>
      </c>
      <c r="W11" s="77">
        <f t="shared" si="11"/>
        <v>171.3042242724182</v>
      </c>
      <c r="X11" s="77">
        <f t="shared" si="11"/>
        <v>155.73111297492562</v>
      </c>
      <c r="Y11" s="77">
        <f t="shared" si="11"/>
        <v>141.57373906811418</v>
      </c>
      <c r="Z11" s="77">
        <f t="shared" si="11"/>
        <v>128.70339915283105</v>
      </c>
      <c r="AA11" s="77">
        <f t="shared" si="11"/>
        <v>117.00309013893732</v>
      </c>
      <c r="AB11" s="77">
        <f t="shared" si="11"/>
        <v>106.36644558085212</v>
      </c>
      <c r="AC11" s="77">
        <f t="shared" si="11"/>
        <v>96.696768709865552</v>
      </c>
      <c r="AD11" s="77">
        <f t="shared" si="11"/>
        <v>87.906153372605033</v>
      </c>
      <c r="AE11" s="77">
        <f t="shared" si="11"/>
        <v>79.914684884186386</v>
      </c>
      <c r="AF11" s="77">
        <f t="shared" si="11"/>
        <v>72.649713531078532</v>
      </c>
      <c r="AG11" s="78">
        <f t="shared" si="11"/>
        <v>66.045194119162289</v>
      </c>
    </row>
    <row r="12" spans="2:33" ht="24" x14ac:dyDescent="0.2">
      <c r="B12" s="76" t="s">
        <v>281</v>
      </c>
      <c r="C12" s="61">
        <f>C6</f>
        <v>-8768.5400359806899</v>
      </c>
      <c r="D12" s="65">
        <f>(C12+D11)</f>
        <v>-7720.8589813334565</v>
      </c>
      <c r="E12" s="65">
        <f t="shared" ref="E12:Y12" si="12">(D12+E11)</f>
        <v>-6768.4216589268808</v>
      </c>
      <c r="F12" s="65">
        <f t="shared" si="12"/>
        <v>-5902.569547648176</v>
      </c>
      <c r="G12" s="65">
        <f t="shared" si="12"/>
        <v>-5115.4312646675353</v>
      </c>
      <c r="H12" s="65">
        <f t="shared" si="12"/>
        <v>-4399.8510074124069</v>
      </c>
      <c r="I12" s="65">
        <f t="shared" si="12"/>
        <v>-3749.3235008168363</v>
      </c>
      <c r="J12" s="65">
        <f t="shared" si="12"/>
        <v>-3157.9348584572263</v>
      </c>
      <c r="K12" s="65">
        <f t="shared" si="12"/>
        <v>-2620.3088199484901</v>
      </c>
      <c r="L12" s="65">
        <f t="shared" si="12"/>
        <v>-2131.557875849639</v>
      </c>
      <c r="M12" s="65">
        <f t="shared" si="12"/>
        <v>-1687.2388357597745</v>
      </c>
      <c r="N12" s="65">
        <f t="shared" si="12"/>
        <v>-1283.3124356780795</v>
      </c>
      <c r="O12" s="65">
        <f t="shared" si="12"/>
        <v>-916.10661742199318</v>
      </c>
      <c r="P12" s="65">
        <f t="shared" si="12"/>
        <v>-582.28314628009662</v>
      </c>
      <c r="Q12" s="65">
        <f t="shared" si="12"/>
        <v>-278.80726342382701</v>
      </c>
      <c r="R12" s="65">
        <f t="shared" si="12"/>
        <v>-2.9200971908546762</v>
      </c>
      <c r="S12" s="65">
        <f t="shared" si="12"/>
        <v>247.88641756639291</v>
      </c>
      <c r="T12" s="65">
        <f t="shared" si="12"/>
        <v>475.8923400729816</v>
      </c>
      <c r="U12" s="65">
        <f t="shared" si="12"/>
        <v>683.1704514426076</v>
      </c>
      <c r="V12" s="65">
        <f t="shared" si="12"/>
        <v>871.60509814226759</v>
      </c>
      <c r="W12" s="65">
        <f t="shared" si="12"/>
        <v>1042.9093224146859</v>
      </c>
      <c r="X12" s="65">
        <f t="shared" si="12"/>
        <v>1198.6404353896114</v>
      </c>
      <c r="Y12" s="65">
        <f t="shared" si="12"/>
        <v>1340.2141744577257</v>
      </c>
      <c r="Z12" s="65">
        <f t="shared" ref="Z12:AG12" si="13">(Y12+Z11)</f>
        <v>1468.9175736105567</v>
      </c>
      <c r="AA12" s="65">
        <f t="shared" si="13"/>
        <v>1585.920663749494</v>
      </c>
      <c r="AB12" s="65">
        <f t="shared" si="13"/>
        <v>1692.2871093303461</v>
      </c>
      <c r="AC12" s="65">
        <f t="shared" si="13"/>
        <v>1788.9838780402117</v>
      </c>
      <c r="AD12" s="65">
        <f t="shared" si="13"/>
        <v>1876.8900314128168</v>
      </c>
      <c r="AE12" s="65">
        <f t="shared" si="13"/>
        <v>1956.8047162970033</v>
      </c>
      <c r="AF12" s="65">
        <f t="shared" si="13"/>
        <v>2029.4544298280819</v>
      </c>
      <c r="AG12" s="66">
        <f t="shared" si="13"/>
        <v>2095.4996239472443</v>
      </c>
    </row>
    <row r="13" spans="2:33" hidden="1" outlineLevel="1" x14ac:dyDescent="0.2">
      <c r="B13" s="79" t="s">
        <v>273</v>
      </c>
      <c r="C13" s="80"/>
      <c r="D13" s="71">
        <f t="shared" ref="D13:R13" si="14">IF(AND(C12&lt;0,D12&gt;=0),D3-D12/D11,0)</f>
        <v>0</v>
      </c>
      <c r="E13" s="71">
        <f t="shared" si="14"/>
        <v>0</v>
      </c>
      <c r="F13" s="71">
        <f t="shared" si="14"/>
        <v>0</v>
      </c>
      <c r="G13" s="71">
        <f t="shared" si="14"/>
        <v>0</v>
      </c>
      <c r="H13" s="71">
        <f t="shared" si="14"/>
        <v>0</v>
      </c>
      <c r="I13" s="71">
        <f t="shared" si="14"/>
        <v>0</v>
      </c>
      <c r="J13" s="71">
        <f t="shared" si="14"/>
        <v>0</v>
      </c>
      <c r="K13" s="71">
        <f t="shared" si="14"/>
        <v>0</v>
      </c>
      <c r="L13" s="71">
        <f t="shared" si="14"/>
        <v>0</v>
      </c>
      <c r="M13" s="71">
        <f t="shared" si="14"/>
        <v>0</v>
      </c>
      <c r="N13" s="71">
        <f t="shared" si="14"/>
        <v>0</v>
      </c>
      <c r="O13" s="71">
        <f t="shared" si="14"/>
        <v>0</v>
      </c>
      <c r="P13" s="71">
        <f t="shared" si="14"/>
        <v>0</v>
      </c>
      <c r="Q13" s="71">
        <f t="shared" si="14"/>
        <v>0</v>
      </c>
      <c r="R13" s="71">
        <f t="shared" si="14"/>
        <v>0</v>
      </c>
      <c r="S13" s="71">
        <f t="shared" ref="S13:AG13" si="15">IF(AND(R12&lt;0,S12&gt;=0),S3-S12/S11,0)</f>
        <v>15.01164282831202</v>
      </c>
      <c r="T13" s="71">
        <f t="shared" si="15"/>
        <v>0</v>
      </c>
      <c r="U13" s="71">
        <f t="shared" si="15"/>
        <v>0</v>
      </c>
      <c r="V13" s="71">
        <f t="shared" si="15"/>
        <v>0</v>
      </c>
      <c r="W13" s="71">
        <f t="shared" si="15"/>
        <v>0</v>
      </c>
      <c r="X13" s="71">
        <f t="shared" si="15"/>
        <v>0</v>
      </c>
      <c r="Y13" s="71">
        <f t="shared" si="15"/>
        <v>0</v>
      </c>
      <c r="Z13" s="71">
        <f t="shared" si="15"/>
        <v>0</v>
      </c>
      <c r="AA13" s="71">
        <f t="shared" si="15"/>
        <v>0</v>
      </c>
      <c r="AB13" s="71">
        <f t="shared" si="15"/>
        <v>0</v>
      </c>
      <c r="AC13" s="71">
        <f t="shared" si="15"/>
        <v>0</v>
      </c>
      <c r="AD13" s="71">
        <f t="shared" si="15"/>
        <v>0</v>
      </c>
      <c r="AE13" s="71">
        <f t="shared" si="15"/>
        <v>0</v>
      </c>
      <c r="AF13" s="71">
        <f t="shared" si="15"/>
        <v>0</v>
      </c>
      <c r="AG13" s="72">
        <f t="shared" si="15"/>
        <v>0</v>
      </c>
    </row>
    <row r="14" spans="2:33" ht="13.5" collapsed="1" thickBot="1" x14ac:dyDescent="0.25">
      <c r="B14" s="81" t="s">
        <v>273</v>
      </c>
      <c r="C14" s="82"/>
      <c r="D14" s="83" t="str">
        <f t="shared" ref="D14:R14" si="16">IF(D13&gt;0,D13," ")</f>
        <v xml:space="preserve"> </v>
      </c>
      <c r="E14" s="83" t="str">
        <f t="shared" si="16"/>
        <v xml:space="preserve"> </v>
      </c>
      <c r="F14" s="83" t="str">
        <f t="shared" si="16"/>
        <v xml:space="preserve"> </v>
      </c>
      <c r="G14" s="83" t="str">
        <f t="shared" si="16"/>
        <v xml:space="preserve"> </v>
      </c>
      <c r="H14" s="83" t="str">
        <f t="shared" si="16"/>
        <v xml:space="preserve"> </v>
      </c>
      <c r="I14" s="83" t="str">
        <f t="shared" si="16"/>
        <v xml:space="preserve"> </v>
      </c>
      <c r="J14" s="83" t="str">
        <f t="shared" si="16"/>
        <v xml:space="preserve"> </v>
      </c>
      <c r="K14" s="83" t="str">
        <f t="shared" si="16"/>
        <v xml:space="preserve"> </v>
      </c>
      <c r="L14" s="83" t="str">
        <f t="shared" si="16"/>
        <v xml:space="preserve"> </v>
      </c>
      <c r="M14" s="83" t="str">
        <f t="shared" si="16"/>
        <v xml:space="preserve"> </v>
      </c>
      <c r="N14" s="83" t="str">
        <f t="shared" si="16"/>
        <v xml:space="preserve"> </v>
      </c>
      <c r="O14" s="83" t="str">
        <f t="shared" si="16"/>
        <v xml:space="preserve"> </v>
      </c>
      <c r="P14" s="83" t="str">
        <f t="shared" si="16"/>
        <v xml:space="preserve"> </v>
      </c>
      <c r="Q14" s="83" t="str">
        <f t="shared" si="16"/>
        <v xml:space="preserve"> </v>
      </c>
      <c r="R14" s="83" t="str">
        <f t="shared" si="16"/>
        <v xml:space="preserve"> </v>
      </c>
      <c r="S14" s="83">
        <f>IF(S13&gt;0,S13," ")</f>
        <v>15.01164282831202</v>
      </c>
      <c r="T14" s="83" t="str">
        <f>IF(T13&gt;0,T13," ")</f>
        <v xml:space="preserve"> </v>
      </c>
      <c r="U14" s="83" t="str">
        <f>IF(U13&gt;0,U13," ")</f>
        <v xml:space="preserve"> </v>
      </c>
      <c r="V14" s="83" t="str">
        <f>IF(V13&gt;0,V13," ")</f>
        <v xml:space="preserve"> </v>
      </c>
      <c r="W14" s="83" t="str">
        <f>IF(W13&gt;0,W13," ")</f>
        <v xml:space="preserve"> </v>
      </c>
      <c r="X14" s="83" t="str">
        <f t="shared" ref="X14:AG14" si="17">IF(X13&gt;0,X13," ")</f>
        <v xml:space="preserve"> </v>
      </c>
      <c r="Y14" s="83" t="str">
        <f t="shared" si="17"/>
        <v xml:space="preserve"> </v>
      </c>
      <c r="Z14" s="83" t="str">
        <f t="shared" si="17"/>
        <v xml:space="preserve"> </v>
      </c>
      <c r="AA14" s="83" t="str">
        <f t="shared" si="17"/>
        <v xml:space="preserve"> </v>
      </c>
      <c r="AB14" s="83" t="str">
        <f t="shared" si="17"/>
        <v xml:space="preserve"> </v>
      </c>
      <c r="AC14" s="83" t="str">
        <f t="shared" si="17"/>
        <v xml:space="preserve"> </v>
      </c>
      <c r="AD14" s="83" t="str">
        <f t="shared" si="17"/>
        <v xml:space="preserve"> </v>
      </c>
      <c r="AE14" s="83" t="str">
        <f t="shared" si="17"/>
        <v xml:space="preserve"> </v>
      </c>
      <c r="AF14" s="83" t="str">
        <f t="shared" si="17"/>
        <v xml:space="preserve"> </v>
      </c>
      <c r="AG14" s="84" t="str">
        <f t="shared" si="17"/>
        <v xml:space="preserve"> </v>
      </c>
    </row>
    <row r="15" spans="2:33" x14ac:dyDescent="0.2">
      <c r="B15" s="85" t="s">
        <v>274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2:33" x14ac:dyDescent="0.2">
      <c r="B16" s="88" t="s">
        <v>275</v>
      </c>
      <c r="C16" s="89">
        <f>NPV(Розрахунок!$F$8,C6:AG6)</f>
        <v>1904.9996581338576</v>
      </c>
      <c r="D16" s="90" t="s">
        <v>282</v>
      </c>
      <c r="E16" s="91"/>
      <c r="F16" s="92"/>
      <c r="G16" s="93"/>
      <c r="H16" s="93"/>
      <c r="I16" s="93"/>
      <c r="J16" s="93"/>
      <c r="K16" s="94"/>
      <c r="L16" s="94"/>
      <c r="M16" s="94"/>
      <c r="N16" s="94"/>
      <c r="O16" s="94"/>
      <c r="P16" s="94"/>
      <c r="Q16" s="94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</row>
    <row r="17" spans="2:33" x14ac:dyDescent="0.2">
      <c r="B17" s="95" t="s">
        <v>276</v>
      </c>
      <c r="C17" s="96">
        <f>IRR(C6:AG6,Розрахунок!$F$8)</f>
        <v>0.12787475985887564</v>
      </c>
      <c r="D17" s="97"/>
      <c r="E17" s="93"/>
      <c r="F17" s="93"/>
      <c r="G17" s="93"/>
      <c r="H17" s="93"/>
      <c r="I17" s="93"/>
      <c r="J17" s="93"/>
      <c r="K17" s="94"/>
      <c r="L17" s="93"/>
      <c r="M17" s="93"/>
      <c r="N17" s="93"/>
      <c r="O17" s="93"/>
      <c r="P17" s="93"/>
      <c r="Q17" s="93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</row>
    <row r="18" spans="2:33" x14ac:dyDescent="0.2">
      <c r="B18" s="88" t="s">
        <v>270</v>
      </c>
      <c r="C18" s="98">
        <f>SUM(C9:AG9)</f>
        <v>7.6086133249720564</v>
      </c>
      <c r="D18" s="97" t="s">
        <v>287</v>
      </c>
      <c r="E18" s="87"/>
      <c r="F18" s="87"/>
      <c r="G18" s="87"/>
      <c r="H18" s="87"/>
      <c r="I18" s="87"/>
      <c r="J18" s="93"/>
      <c r="K18" s="93"/>
      <c r="L18" s="93"/>
      <c r="M18" s="93"/>
      <c r="N18" s="93"/>
      <c r="O18" s="93"/>
      <c r="P18" s="93"/>
      <c r="Q18" s="93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</row>
    <row r="19" spans="2:33" x14ac:dyDescent="0.2">
      <c r="B19" s="95" t="s">
        <v>277</v>
      </c>
      <c r="C19" s="99">
        <f>SUM(D14:AG14)</f>
        <v>15.01164282831202</v>
      </c>
      <c r="D19" s="97" t="s">
        <v>287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</sheetData>
  <mergeCells count="2">
    <mergeCell ref="B2:B3"/>
    <mergeCell ref="C2:AG2"/>
  </mergeCells>
  <conditionalFormatting sqref="D13:AG14 D3:AG5 D7:AG11">
    <cfRule type="expression" dxfId="5" priority="2" stopIfTrue="1">
      <formula>#REF!=0</formula>
    </cfRule>
  </conditionalFormatting>
  <conditionalFormatting sqref="D12:AG12">
    <cfRule type="expression" dxfId="4" priority="1" stopIfTrue="1">
      <formula>#REF!=0</formula>
    </cfRule>
  </conditionalFormatting>
  <pageMargins left="0.25" right="0.25" top="0.75" bottom="0.75" header="0.3" footer="0.3"/>
  <pageSetup paperSize="9" scale="10" orientation="landscape" verticalDpi="120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3:I55"/>
  <sheetViews>
    <sheetView topLeftCell="A31" workbookViewId="0">
      <selection activeCell="J40" sqref="J40"/>
    </sheetView>
  </sheetViews>
  <sheetFormatPr defaultRowHeight="12" x14ac:dyDescent="0.2"/>
  <cols>
    <col min="1" max="1" width="15.7109375" style="6" customWidth="1"/>
    <col min="2" max="2" width="34.7109375" style="6" customWidth="1"/>
    <col min="3" max="3" width="11.42578125" style="6" customWidth="1"/>
    <col min="4" max="4" width="12.7109375" style="15" customWidth="1"/>
    <col min="5" max="5" width="10.7109375" style="15" customWidth="1"/>
    <col min="6" max="6" width="13" style="15" customWidth="1"/>
    <col min="7" max="7" width="17" style="6" customWidth="1"/>
    <col min="8" max="8" width="14.5703125" style="6" customWidth="1"/>
    <col min="9" max="9" width="9.140625" style="6"/>
    <col min="10" max="10" width="10" style="6" bestFit="1" customWidth="1"/>
    <col min="11" max="16384" width="9.140625" style="6"/>
  </cols>
  <sheetData>
    <row r="3" spans="1:8" ht="15" customHeight="1" x14ac:dyDescent="0.2">
      <c r="A3" s="268" t="s">
        <v>74</v>
      </c>
      <c r="B3" s="268"/>
      <c r="C3" s="268"/>
      <c r="D3" s="268"/>
      <c r="E3" s="268"/>
      <c r="F3" s="268"/>
    </row>
    <row r="4" spans="1:8" ht="30" customHeight="1" x14ac:dyDescent="0.2">
      <c r="A4" s="261" t="s">
        <v>161</v>
      </c>
      <c r="B4" s="261"/>
      <c r="C4" s="251" t="s">
        <v>87</v>
      </c>
      <c r="D4" s="251"/>
      <c r="E4" s="251" t="s">
        <v>86</v>
      </c>
      <c r="F4" s="251"/>
      <c r="G4" s="251" t="s">
        <v>143</v>
      </c>
      <c r="H4" s="251"/>
    </row>
    <row r="5" spans="1:8" ht="24" x14ac:dyDescent="0.2">
      <c r="A5" s="261"/>
      <c r="B5" s="261"/>
      <c r="C5" s="12" t="s">
        <v>88</v>
      </c>
      <c r="D5" s="20" t="s">
        <v>89</v>
      </c>
      <c r="E5" s="20" t="s">
        <v>90</v>
      </c>
      <c r="F5" s="20" t="s">
        <v>91</v>
      </c>
      <c r="G5" s="20" t="s">
        <v>144</v>
      </c>
      <c r="H5" s="20" t="s">
        <v>145</v>
      </c>
    </row>
    <row r="6" spans="1:8" x14ac:dyDescent="0.2">
      <c r="A6" s="6" t="s">
        <v>75</v>
      </c>
      <c r="B6" s="11" t="s">
        <v>114</v>
      </c>
      <c r="C6" s="22">
        <f>INDEX(Списки!$B$72:$B$92,MATCH(B6,Списки!$A$72:$A$92,0))</f>
        <v>1.05</v>
      </c>
      <c r="D6" s="28">
        <f>C6</f>
        <v>1.05</v>
      </c>
      <c r="E6" s="28">
        <v>0.01</v>
      </c>
      <c r="F6" s="28">
        <f t="shared" ref="F6:F11" si="0">E6</f>
        <v>0.01</v>
      </c>
      <c r="G6" s="29">
        <v>8.6999999999999993</v>
      </c>
      <c r="H6" s="29">
        <v>23</v>
      </c>
    </row>
    <row r="7" spans="1:8" x14ac:dyDescent="0.2">
      <c r="A7" s="6" t="s">
        <v>76</v>
      </c>
      <c r="B7" s="11" t="s">
        <v>115</v>
      </c>
      <c r="C7" s="22">
        <f>INDEX(Списки!$B$72:$B$92,MATCH(B7,Списки!$A$72:$A$92,0))</f>
        <v>0.93</v>
      </c>
      <c r="D7" s="16">
        <f t="shared" ref="D7:D13" si="1">C7</f>
        <v>0.93</v>
      </c>
      <c r="E7" s="16">
        <v>6.0000000000000001E-3</v>
      </c>
      <c r="F7" s="28">
        <f t="shared" si="0"/>
        <v>6.0000000000000001E-3</v>
      </c>
    </row>
    <row r="8" spans="1:8" x14ac:dyDescent="0.2">
      <c r="A8" s="6" t="s">
        <v>77</v>
      </c>
      <c r="B8" s="11" t="s">
        <v>94</v>
      </c>
      <c r="C8" s="22">
        <f>INDEX(Списки!$B$72:$B$92,MATCH(B8,Списки!$A$72:$A$92,0))</f>
        <v>0.81</v>
      </c>
      <c r="D8" s="16">
        <f t="shared" si="1"/>
        <v>0.81</v>
      </c>
      <c r="E8" s="16">
        <v>0.38</v>
      </c>
      <c r="F8" s="28">
        <f t="shared" si="0"/>
        <v>0.38</v>
      </c>
    </row>
    <row r="9" spans="1:8" x14ac:dyDescent="0.2">
      <c r="A9" s="6" t="s">
        <v>78</v>
      </c>
      <c r="B9" s="11" t="s">
        <v>111</v>
      </c>
      <c r="C9" s="22">
        <f>INDEX(Списки!$B$72:$B$92,MATCH(B9,Списки!$A$72:$A$92,0))</f>
        <v>0.81</v>
      </c>
      <c r="D9" s="16">
        <f t="shared" si="1"/>
        <v>0.81</v>
      </c>
      <c r="E9" s="16">
        <v>6.0000000000000001E-3</v>
      </c>
      <c r="F9" s="28">
        <f t="shared" si="0"/>
        <v>6.0000000000000001E-3</v>
      </c>
    </row>
    <row r="10" spans="1:8" x14ac:dyDescent="0.2">
      <c r="A10" s="6" t="s">
        <v>79</v>
      </c>
      <c r="B10" s="11" t="s">
        <v>112</v>
      </c>
      <c r="C10" s="22">
        <f>INDEX(Списки!$B$72:$B$92,MATCH(B10,Списки!$A$72:$A$92,0))</f>
        <v>0.23</v>
      </c>
      <c r="D10" s="16">
        <f t="shared" si="1"/>
        <v>0.23</v>
      </c>
      <c r="E10" s="16">
        <v>2E-3</v>
      </c>
      <c r="F10" s="28">
        <f t="shared" si="0"/>
        <v>2E-3</v>
      </c>
    </row>
    <row r="11" spans="1:8" ht="12.75" thickBot="1" x14ac:dyDescent="0.25">
      <c r="A11" s="255" t="s">
        <v>167</v>
      </c>
      <c r="B11" s="255"/>
      <c r="C11" s="22">
        <f>IF(E11=0,0,6.598*E11+0.014)</f>
        <v>0</v>
      </c>
      <c r="D11" s="23">
        <f>C11</f>
        <v>0</v>
      </c>
      <c r="E11" s="16">
        <v>0</v>
      </c>
      <c r="F11" s="28">
        <f t="shared" si="0"/>
        <v>0</v>
      </c>
    </row>
    <row r="12" spans="1:8" ht="12.75" thickBot="1" x14ac:dyDescent="0.25">
      <c r="A12" s="13" t="s">
        <v>139</v>
      </c>
      <c r="B12" s="14" t="s">
        <v>126</v>
      </c>
      <c r="C12" s="22">
        <f>INDEX(Списки!$B$126:$B$148,MATCH(B12,Списки!$A$126:$A$148,0))</f>
        <v>0.05</v>
      </c>
      <c r="D12" s="23">
        <f t="shared" si="1"/>
        <v>0.05</v>
      </c>
      <c r="E12" s="30">
        <v>0</v>
      </c>
      <c r="F12" s="114">
        <v>0.2</v>
      </c>
    </row>
    <row r="13" spans="1:8" ht="12.75" thickBot="1" x14ac:dyDescent="0.25">
      <c r="A13" s="13" t="s">
        <v>162</v>
      </c>
      <c r="B13" s="14" t="s">
        <v>111</v>
      </c>
      <c r="C13" s="22">
        <f>INDEX(Списки!$B$126:$B$148,MATCH(B13,Списки!$A$126:$A$148,0))</f>
        <v>0.81</v>
      </c>
      <c r="D13" s="23">
        <f t="shared" si="1"/>
        <v>0.81</v>
      </c>
      <c r="E13" s="30">
        <v>0</v>
      </c>
      <c r="F13" s="31">
        <v>0.01</v>
      </c>
    </row>
    <row r="14" spans="1:8" ht="12.75" customHeight="1" thickBot="1" x14ac:dyDescent="0.25">
      <c r="A14" s="265" t="s">
        <v>146</v>
      </c>
      <c r="B14" s="266"/>
      <c r="C14" s="266"/>
      <c r="D14" s="266"/>
      <c r="E14" s="34">
        <f>IF(ISERROR(E6/$D6)=TRUE,0,(E6/$D6))+IF(ISERROR(E7/$D7)=TRUE,0,(E7/$D7))+IF(ISERROR(E8/$D8)=TRUE,0,(E8/$D8))+IF(ISERROR(E9/$D9)=TRUE,0,(E9/$D9))+IF(ISERROR(E10/$D10)=TRUE,0,(E10/$D10))++IF(ISERROR(E11/$D11)=TRUE,0,(E11/$D11))+IF(ISERROR(E12/$D12)=TRUE,0,(E12/$D12))+IF(ISERROR(E13/$D13)=TRUE,0,(E13/$D13))</f>
        <v>0.5012142844774915</v>
      </c>
      <c r="F14" s="34">
        <f>IF(ISERROR(F6/$D6)=TRUE,0,(F6/$D6))+IF(ISERROR(F7/$D7)=TRUE,0,(F7/$D7))+IF(ISERROR(F8/$D8)=TRUE,0,(F8/$D8))+IF(ISERROR(F9/$D9)=TRUE,0,(F9/$D9))+IF(ISERROR(F10/$D10)=TRUE,0,(F10/$D10))++IF(ISERROR(F11/$D11)=TRUE,0,(F11/$D11))+IF(ISERROR(F12/$D12)=TRUE,0,(F12/$D12))+IF(ISERROR(F13/$D13)=TRUE,0,(F13/$D13))</f>
        <v>4.5135599634898371</v>
      </c>
    </row>
    <row r="15" spans="1:8" ht="12.75" customHeight="1" thickBot="1" x14ac:dyDescent="0.25">
      <c r="A15" s="256" t="s">
        <v>148</v>
      </c>
      <c r="B15" s="262"/>
      <c r="C15" s="263" t="s">
        <v>173</v>
      </c>
      <c r="D15" s="264"/>
      <c r="E15" s="259">
        <f>IF(MATCH(C15,Списки!$M$27:$M$28,0)=1,IF(Розрахунок!$H$12=1,Списки!J29,Списки!K29),IF(Розрахунок!$H$12=1,Списки!H29,Списки!I29))</f>
        <v>3.3</v>
      </c>
      <c r="F15" s="260"/>
    </row>
    <row r="16" spans="1:8" ht="24.75" customHeight="1" thickBot="1" x14ac:dyDescent="0.25">
      <c r="A16" s="183" t="s">
        <v>335</v>
      </c>
      <c r="B16" s="184"/>
      <c r="C16" s="184"/>
      <c r="D16" s="184"/>
      <c r="E16" s="24">
        <f>1/(1/$G$6+(1/(1/E14+IF(1/E14&lt;0.4,0.15,IF(1/E14&lt;0.8,0.075,0))*IF($G$16=TRUE,1,0)))+1/$H$6)</f>
        <v>1.5159897332485455</v>
      </c>
      <c r="F16" s="24">
        <f>1/(1/$G$6+(1/(1/F14+IF(1/F14&lt;0.4,0.15,IF(1/F14&lt;0.8,0.075,0))*IF($G$16=TRUE,1,0)))+1/$H$6)</f>
        <v>0.35089994280001963</v>
      </c>
      <c r="G16" s="6" t="b">
        <v>1</v>
      </c>
    </row>
    <row r="17" spans="1:8" x14ac:dyDescent="0.2">
      <c r="A17" s="25"/>
      <c r="B17" s="25"/>
      <c r="C17" s="26"/>
      <c r="D17" s="26"/>
      <c r="E17" s="27"/>
      <c r="F17" s="27"/>
    </row>
    <row r="18" spans="1:8" ht="21" customHeight="1" x14ac:dyDescent="0.2">
      <c r="A18" s="261" t="s">
        <v>151</v>
      </c>
      <c r="B18" s="261"/>
      <c r="C18" s="251" t="s">
        <v>87</v>
      </c>
      <c r="D18" s="251"/>
      <c r="E18" s="251" t="s">
        <v>86</v>
      </c>
      <c r="F18" s="251"/>
      <c r="G18" s="251" t="s">
        <v>143</v>
      </c>
      <c r="H18" s="251"/>
    </row>
    <row r="19" spans="1:8" ht="30" customHeight="1" x14ac:dyDescent="0.2">
      <c r="A19" s="261"/>
      <c r="B19" s="261"/>
      <c r="C19" s="12" t="s">
        <v>88</v>
      </c>
      <c r="D19" s="20" t="s">
        <v>89</v>
      </c>
      <c r="E19" s="20" t="s">
        <v>90</v>
      </c>
      <c r="F19" s="20" t="s">
        <v>91</v>
      </c>
      <c r="G19" s="20" t="s">
        <v>144</v>
      </c>
      <c r="H19" s="20" t="s">
        <v>145</v>
      </c>
    </row>
    <row r="20" spans="1:8" x14ac:dyDescent="0.2">
      <c r="A20" s="6" t="s">
        <v>75</v>
      </c>
      <c r="B20" s="11" t="s">
        <v>104</v>
      </c>
      <c r="C20" s="22">
        <f>INDEX(Списки!$B$93:$B$111,MATCH(B20,Списки!$A$93:$A$111,0))</f>
        <v>0.17</v>
      </c>
      <c r="D20" s="28">
        <f>C20</f>
        <v>0.17</v>
      </c>
      <c r="E20" s="28">
        <v>0</v>
      </c>
      <c r="F20" s="28">
        <f t="shared" ref="F20:F25" si="2">E20</f>
        <v>0</v>
      </c>
      <c r="G20" s="251" t="s">
        <v>163</v>
      </c>
      <c r="H20" s="251"/>
    </row>
    <row r="21" spans="1:8" ht="21" customHeight="1" x14ac:dyDescent="0.2">
      <c r="A21" s="6" t="s">
        <v>76</v>
      </c>
      <c r="B21" s="11" t="s">
        <v>107</v>
      </c>
      <c r="C21" s="22">
        <f>INDEX(Списки!$B$93:$B$111,MATCH(B21,Списки!$A$93:$A$111,0))</f>
        <v>0.27</v>
      </c>
      <c r="D21" s="16">
        <f t="shared" ref="D21:D29" si="3">C21</f>
        <v>0.27</v>
      </c>
      <c r="E21" s="16">
        <v>0</v>
      </c>
      <c r="F21" s="28">
        <f t="shared" si="2"/>
        <v>0</v>
      </c>
      <c r="G21" s="267" t="s">
        <v>164</v>
      </c>
      <c r="H21" s="267"/>
    </row>
    <row r="22" spans="1:8" x14ac:dyDescent="0.2">
      <c r="A22" s="6" t="s">
        <v>77</v>
      </c>
      <c r="B22" s="11" t="s">
        <v>102</v>
      </c>
      <c r="C22" s="22">
        <f>INDEX(Списки!$B$93:$B$111,MATCH(B22,Списки!$A$93:$A$111,0))</f>
        <v>0.23</v>
      </c>
      <c r="D22" s="16">
        <f t="shared" si="3"/>
        <v>0.23</v>
      </c>
      <c r="E22" s="16">
        <v>0</v>
      </c>
      <c r="F22" s="28">
        <f t="shared" si="2"/>
        <v>0</v>
      </c>
      <c r="G22" s="33">
        <f>INDEX(Списки!$B$151:$B$152,MATCH($G21,Списки!$A$151:$A$152,0))</f>
        <v>8.6999999999999993</v>
      </c>
      <c r="H22" s="33">
        <f>INDEX(Списки!$C$151:$C$152,MATCH($G21,Списки!$A$151:$A$152,0))</f>
        <v>12</v>
      </c>
    </row>
    <row r="23" spans="1:8" x14ac:dyDescent="0.2">
      <c r="A23" s="6" t="s">
        <v>78</v>
      </c>
      <c r="B23" s="11" t="s">
        <v>83</v>
      </c>
      <c r="C23" s="22">
        <f>INDEX(Списки!$B$93:$B$111,MATCH(B23,Списки!$A$93:$A$111,0))</f>
        <v>2.04</v>
      </c>
      <c r="D23" s="16">
        <f t="shared" si="3"/>
        <v>2.04</v>
      </c>
      <c r="E23" s="16">
        <v>0.22</v>
      </c>
      <c r="F23" s="28">
        <f t="shared" si="2"/>
        <v>0.22</v>
      </c>
    </row>
    <row r="24" spans="1:8" x14ac:dyDescent="0.2">
      <c r="A24" s="6" t="s">
        <v>79</v>
      </c>
      <c r="B24" s="11" t="s">
        <v>111</v>
      </c>
      <c r="C24" s="22">
        <f>INDEX(Списки!$B$93:$B$111,MATCH(B24,Списки!$A$93:$A$111,0))</f>
        <v>0.81</v>
      </c>
      <c r="D24" s="16">
        <f t="shared" si="3"/>
        <v>0.81</v>
      </c>
      <c r="E24" s="16">
        <v>2E-3</v>
      </c>
      <c r="F24" s="28">
        <f t="shared" si="2"/>
        <v>2E-3</v>
      </c>
    </row>
    <row r="25" spans="1:8" ht="12.75" thickBot="1" x14ac:dyDescent="0.25">
      <c r="A25" s="255" t="s">
        <v>167</v>
      </c>
      <c r="B25" s="255"/>
      <c r="C25" s="22">
        <f>IF(E25=0,0,6.598*E25+0.014)</f>
        <v>0</v>
      </c>
      <c r="D25" s="23">
        <f>C25</f>
        <v>0</v>
      </c>
      <c r="E25" s="16">
        <v>0</v>
      </c>
      <c r="F25" s="28">
        <f t="shared" si="2"/>
        <v>0</v>
      </c>
    </row>
    <row r="26" spans="1:8" ht="12.75" thickBot="1" x14ac:dyDescent="0.25">
      <c r="A26" s="13" t="s">
        <v>139</v>
      </c>
      <c r="B26" s="14" t="s">
        <v>120</v>
      </c>
      <c r="C26" s="22">
        <f>INDEX(Списки!$B$126:$B$148,MATCH(B26,Списки!$A$126:$A$148,0))</f>
        <v>7.0000000000000007E-2</v>
      </c>
      <c r="D26" s="23">
        <f t="shared" si="3"/>
        <v>7.0000000000000007E-2</v>
      </c>
      <c r="E26" s="30">
        <v>0</v>
      </c>
      <c r="F26" s="114">
        <v>0.2</v>
      </c>
    </row>
    <row r="27" spans="1:8" ht="12.75" thickBot="1" x14ac:dyDescent="0.25">
      <c r="A27" s="13" t="s">
        <v>162</v>
      </c>
      <c r="B27" s="14" t="s">
        <v>125</v>
      </c>
      <c r="C27" s="22">
        <f>INDEX(Списки!$B$126:$B$148,MATCH(B27,Списки!$A$126:$A$148,0))</f>
        <v>0.3</v>
      </c>
      <c r="D27" s="23">
        <f t="shared" si="3"/>
        <v>0.3</v>
      </c>
      <c r="E27" s="30">
        <v>0</v>
      </c>
      <c r="F27" s="31">
        <v>2E-3</v>
      </c>
    </row>
    <row r="28" spans="1:8" ht="12.75" thickBot="1" x14ac:dyDescent="0.25">
      <c r="A28" s="13" t="s">
        <v>166</v>
      </c>
      <c r="B28" s="14" t="s">
        <v>111</v>
      </c>
      <c r="C28" s="22">
        <f>INDEX(Списки!$B$126:$B$148,MATCH(B28,Списки!$A$126:$A$148,0))</f>
        <v>0.81</v>
      </c>
      <c r="D28" s="23">
        <f t="shared" si="3"/>
        <v>0.81</v>
      </c>
      <c r="E28" s="30">
        <v>0</v>
      </c>
      <c r="F28" s="31">
        <v>0</v>
      </c>
    </row>
    <row r="29" spans="1:8" ht="12.75" thickBot="1" x14ac:dyDescent="0.25">
      <c r="A29" s="13" t="s">
        <v>168</v>
      </c>
      <c r="B29" s="14" t="s">
        <v>99</v>
      </c>
      <c r="C29" s="22">
        <f>INDEX(Списки!$B$126:$B$148,MATCH(B29,Списки!$A$126:$A$148,0))</f>
        <v>0.18</v>
      </c>
      <c r="D29" s="23">
        <f t="shared" si="3"/>
        <v>0.18</v>
      </c>
      <c r="E29" s="30">
        <v>0</v>
      </c>
      <c r="F29" s="31">
        <v>0</v>
      </c>
    </row>
    <row r="30" spans="1:8" ht="12.75" thickBot="1" x14ac:dyDescent="0.25">
      <c r="A30" s="265" t="s">
        <v>146</v>
      </c>
      <c r="B30" s="266"/>
      <c r="C30" s="266"/>
      <c r="D30" s="266"/>
      <c r="E30" s="34">
        <f>IF(ISERROR(E20/$D20)=TRUE,0,(E20/$D20))+IF(ISERROR(E21/$D21)=TRUE,0,(E21/$D21))+IF(ISERROR(E22/$D22)=TRUE,0,(E22/$D22))+IF(ISERROR(E23/$D23)=TRUE,0,(E23/$D23))+IF(ISERROR(E24/$D24)=TRUE,0,(E24/$D24))+IF(ISERROR(E25/$D25)=TRUE,0,(E25/$D25))+IF(ISERROR(E26/$D26)=TRUE,0,(E26/$D26))+IF(ISERROR(E27/$D27)=TRUE,0,(E27/$D27))+IF(ISERROR(E28/$D28)=TRUE,0,(E28/$D28))+IF(ISERROR(E29/$D29)=TRUE,0,(E29/$D29))</f>
        <v>0.1103122730573711</v>
      </c>
      <c r="F30" s="34">
        <f>IF(ISERROR(F20/$D20)=TRUE,0,(F20/$D20))+IF(ISERROR(F21/$D21)=TRUE,0,(F21/$D21))+IF(ISERROR(F22/$D22)=TRUE,0,(F22/$D22))+IF(ISERROR(F23/$D23)=TRUE,0,(F23/$D23))+IF(ISERROR(F24/$D24)=TRUE,0,(F24/$D24))+IF(ISERROR(F25/$D25)=TRUE,0,(F25/$D25))+IF(ISERROR(F26/$D26)=TRUE,0,(F26/$D26))+IF(ISERROR(F27/$D27)=TRUE,0,(F27/$D27))+IF(ISERROR(F28/$D28)=TRUE,0,(F28/$D28))+IF(ISERROR(F29/$D29)=TRUE,0,(F29/$D29))</f>
        <v>2.9741217968668949</v>
      </c>
    </row>
    <row r="31" spans="1:8" ht="12.75" customHeight="1" thickBot="1" x14ac:dyDescent="0.25">
      <c r="A31" s="256" t="s">
        <v>148</v>
      </c>
      <c r="B31" s="262"/>
      <c r="C31" s="263" t="s">
        <v>173</v>
      </c>
      <c r="D31" s="264"/>
      <c r="E31" s="259">
        <f>IF(MATCH(C31,Списки!$M$27:$M$28,0)=1,IF(Розрахунок!$H$12=1,Списки!J31,Списки!K31),IF(Розрахунок!$H$12=1,Списки!H31,Списки!I31))</f>
        <v>4.95</v>
      </c>
      <c r="F31" s="260"/>
    </row>
    <row r="32" spans="1:8" ht="25.5" customHeight="1" thickBot="1" x14ac:dyDescent="0.25">
      <c r="A32" s="183" t="s">
        <v>335</v>
      </c>
      <c r="B32" s="184"/>
      <c r="C32" s="184"/>
      <c r="D32" s="184"/>
      <c r="E32" s="24">
        <f>1/(1/$G$22+(1/(1/E30+IF(1/E30&lt;0.4,0.15,IF(1/E30&lt;0.8,0.075,0))*IF($G$32=TRUE,1,0)))+1/$H$22)</f>
        <v>3.2405652913084224</v>
      </c>
      <c r="F32" s="24">
        <f>1/(1/$G$22+(1/(1/F30+IF(1/F30&lt;0.4,0.15,IF(1/F30&lt;0.8,0.075,0))*IF($G$32=TRUE,1,0)))+1/$H$22)</f>
        <v>0.31521899443572182</v>
      </c>
      <c r="G32" s="6" t="b">
        <v>0</v>
      </c>
    </row>
    <row r="34" spans="1:8" ht="12" customHeight="1" x14ac:dyDescent="0.2">
      <c r="A34" s="261" t="s">
        <v>169</v>
      </c>
      <c r="B34" s="261"/>
      <c r="C34" s="251" t="s">
        <v>87</v>
      </c>
      <c r="D34" s="251"/>
      <c r="E34" s="251" t="s">
        <v>86</v>
      </c>
      <c r="F34" s="251"/>
      <c r="G34" s="251" t="s">
        <v>143</v>
      </c>
      <c r="H34" s="251"/>
    </row>
    <row r="35" spans="1:8" ht="24" x14ac:dyDescent="0.2">
      <c r="A35" s="261"/>
      <c r="B35" s="261"/>
      <c r="C35" s="12" t="s">
        <v>88</v>
      </c>
      <c r="D35" s="20" t="s">
        <v>89</v>
      </c>
      <c r="E35" s="20" t="s">
        <v>90</v>
      </c>
      <c r="F35" s="20" t="s">
        <v>91</v>
      </c>
      <c r="G35" s="20" t="s">
        <v>144</v>
      </c>
      <c r="H35" s="20" t="s">
        <v>145</v>
      </c>
    </row>
    <row r="36" spans="1:8" x14ac:dyDescent="0.2">
      <c r="A36" s="6" t="s">
        <v>75</v>
      </c>
      <c r="B36" s="11" t="s">
        <v>83</v>
      </c>
      <c r="C36" s="22">
        <f>INDEX(Списки!$B$112:$B$125,MATCH(B36,Списки!$A$112:$A$125,0))</f>
        <v>2.04</v>
      </c>
      <c r="D36" s="28">
        <f>C36</f>
        <v>2.04</v>
      </c>
      <c r="E36" s="28">
        <v>0.22</v>
      </c>
      <c r="F36" s="28">
        <f t="shared" ref="F36:F41" si="4">E36</f>
        <v>0.22</v>
      </c>
      <c r="G36" s="251" t="s">
        <v>172</v>
      </c>
      <c r="H36" s="251"/>
    </row>
    <row r="37" spans="1:8" x14ac:dyDescent="0.2">
      <c r="A37" s="6" t="s">
        <v>76</v>
      </c>
      <c r="B37" s="11" t="s">
        <v>102</v>
      </c>
      <c r="C37" s="22">
        <f>INDEX(Списки!$B$112:$B$125,MATCH(B37,Списки!$A$112:$A$125,0))</f>
        <v>0.23</v>
      </c>
      <c r="D37" s="16">
        <f t="shared" ref="D37:D45" si="5">C37</f>
        <v>0.23</v>
      </c>
      <c r="E37" s="16">
        <v>0.05</v>
      </c>
      <c r="F37" s="28">
        <f t="shared" si="4"/>
        <v>0.05</v>
      </c>
      <c r="G37" s="267" t="s">
        <v>170</v>
      </c>
      <c r="H37" s="267"/>
    </row>
    <row r="38" spans="1:8" x14ac:dyDescent="0.2">
      <c r="A38" s="6" t="s">
        <v>77</v>
      </c>
      <c r="B38" s="11" t="s">
        <v>111</v>
      </c>
      <c r="C38" s="22">
        <f>INDEX(Списки!$B$112:$B$125,MATCH(B38,Списки!$A$112:$A$125,0))</f>
        <v>0.81</v>
      </c>
      <c r="D38" s="16">
        <f t="shared" si="5"/>
        <v>0.81</v>
      </c>
      <c r="E38" s="16">
        <v>0.02</v>
      </c>
      <c r="F38" s="28">
        <f t="shared" si="4"/>
        <v>0.02</v>
      </c>
      <c r="G38" s="33">
        <f>INDEX(Списки!$B$154:$B$155,MATCH($G37,Списки!$A$154:$A$155,0))</f>
        <v>8.6999999999999993</v>
      </c>
      <c r="H38" s="33">
        <f>INDEX(Списки!$C$154:$C$155,MATCH($G37,Списки!$A$154:$A$155,0))</f>
        <v>12</v>
      </c>
    </row>
    <row r="39" spans="1:8" x14ac:dyDescent="0.2">
      <c r="A39" s="6" t="s">
        <v>78</v>
      </c>
      <c r="B39" s="11" t="s">
        <v>99</v>
      </c>
      <c r="C39" s="22">
        <f>INDEX(Списки!$B$112:$B$125,MATCH(B39,Списки!$A$112:$A$125,0))</f>
        <v>0.18</v>
      </c>
      <c r="D39" s="16">
        <f t="shared" si="5"/>
        <v>0.18</v>
      </c>
      <c r="E39" s="16">
        <v>0</v>
      </c>
      <c r="F39" s="28">
        <f t="shared" si="4"/>
        <v>0</v>
      </c>
    </row>
    <row r="40" spans="1:8" x14ac:dyDescent="0.2">
      <c r="A40" s="6" t="s">
        <v>79</v>
      </c>
      <c r="B40" s="11" t="s">
        <v>105</v>
      </c>
      <c r="C40" s="22">
        <f>INDEX(Списки!$B$112:$B$125,MATCH(B40,Списки!$A$112:$A$125,0))</f>
        <v>0.35</v>
      </c>
      <c r="D40" s="16">
        <f t="shared" si="5"/>
        <v>0.35</v>
      </c>
      <c r="E40" s="16">
        <v>4.0000000000000001E-3</v>
      </c>
      <c r="F40" s="28">
        <f t="shared" si="4"/>
        <v>4.0000000000000001E-3</v>
      </c>
    </row>
    <row r="41" spans="1:8" ht="12.75" thickBot="1" x14ac:dyDescent="0.25">
      <c r="A41" s="255" t="s">
        <v>167</v>
      </c>
      <c r="B41" s="255"/>
      <c r="C41" s="22">
        <f>IF(E41=0,0,5.136*E41+0.03)</f>
        <v>0.18407999999999999</v>
      </c>
      <c r="D41" s="23">
        <f>C41</f>
        <v>0.18407999999999999</v>
      </c>
      <c r="E41" s="16">
        <v>0.03</v>
      </c>
      <c r="F41" s="28">
        <f t="shared" si="4"/>
        <v>0.03</v>
      </c>
    </row>
    <row r="42" spans="1:8" ht="12.75" thickBot="1" x14ac:dyDescent="0.25">
      <c r="A42" s="13" t="s">
        <v>139</v>
      </c>
      <c r="B42" s="14" t="s">
        <v>120</v>
      </c>
      <c r="C42" s="22">
        <f>INDEX(Списки!$B$126:$B$148,MATCH(B42,Списки!$A$126:$A$148,0))</f>
        <v>7.0000000000000007E-2</v>
      </c>
      <c r="D42" s="23">
        <f t="shared" si="5"/>
        <v>7.0000000000000007E-2</v>
      </c>
      <c r="E42" s="30">
        <v>0</v>
      </c>
      <c r="F42" s="114">
        <v>0.2</v>
      </c>
    </row>
    <row r="43" spans="1:8" ht="12.75" thickBot="1" x14ac:dyDescent="0.25">
      <c r="A43" s="13" t="s">
        <v>162</v>
      </c>
      <c r="B43" s="14" t="s">
        <v>125</v>
      </c>
      <c r="C43" s="22">
        <f>INDEX(Списки!$B$126:$B$148,MATCH(B43,Списки!$A$126:$A$148,0))</f>
        <v>0.3</v>
      </c>
      <c r="D43" s="23">
        <f t="shared" si="5"/>
        <v>0.3</v>
      </c>
      <c r="E43" s="30">
        <v>0</v>
      </c>
      <c r="F43" s="31">
        <v>2E-3</v>
      </c>
    </row>
    <row r="44" spans="1:8" ht="12.75" thickBot="1" x14ac:dyDescent="0.25">
      <c r="A44" s="13" t="s">
        <v>166</v>
      </c>
      <c r="B44" s="14" t="s">
        <v>111</v>
      </c>
      <c r="C44" s="22">
        <f>INDEX(Списки!$B$126:$B$148,MATCH(B44,Списки!$A$126:$A$148,0))</f>
        <v>0.81</v>
      </c>
      <c r="D44" s="23">
        <f t="shared" si="5"/>
        <v>0.81</v>
      </c>
      <c r="E44" s="30">
        <v>0</v>
      </c>
      <c r="F44" s="31">
        <v>0</v>
      </c>
    </row>
    <row r="45" spans="1:8" ht="12.75" thickBot="1" x14ac:dyDescent="0.25">
      <c r="A45" s="13" t="s">
        <v>168</v>
      </c>
      <c r="B45" s="14" t="s">
        <v>99</v>
      </c>
      <c r="C45" s="22">
        <f>INDEX(Списки!$B$126:$B$148,MATCH(B45,Списки!$A$126:$A$148,0))</f>
        <v>0.18</v>
      </c>
      <c r="D45" s="23">
        <f t="shared" si="5"/>
        <v>0.18</v>
      </c>
      <c r="E45" s="30">
        <v>0</v>
      </c>
      <c r="F45" s="31">
        <v>0</v>
      </c>
    </row>
    <row r="46" spans="1:8" ht="12.75" thickBot="1" x14ac:dyDescent="0.25">
      <c r="A46" s="265" t="s">
        <v>146</v>
      </c>
      <c r="B46" s="266"/>
      <c r="C46" s="266"/>
      <c r="D46" s="266"/>
      <c r="E46" s="34">
        <f>IF(ISERROR(E36/$D36)=TRUE,0,(E36/$D36))+IF(ISERROR(E37/$D37)=TRUE,0,(E37/$D37))+IF(ISERROR(E38/$D38)=TRUE,0,(E38/$D38))+IF(ISERROR(E39/$D39)=TRUE,0,(E39/$D39))+IF(ISERROR(E40/$D40)=TRUE,0,(E40/$D40))+IF(ISERROR(E41/$D41)=TRUE,0,(E41/$D41))+IF(ISERROR(E42/$D42)=TRUE,0,(E42/$D42))+IF(ISERROR(E43/$D43)=TRUE,0,(E43/$D43))+IF(ISERROR(E44/$D44)=TRUE,0,(E44/$D44))+IF(ISERROR(E45/$D45)=TRUE,0,(E45/$D45))</f>
        <v>0.52432699165573016</v>
      </c>
      <c r="F46" s="34">
        <f>IF(ISERROR(F36/$D36)=TRUE,0,(F36/$D36))+IF(ISERROR(F37/$D37)=TRUE,0,(F37/$D37))+IF(ISERROR(F38/$D38)=TRUE,0,(F38/$D38))+IF(ISERROR(F39/$D39)=TRUE,0,(F39/$D39))+IF(ISERROR(F40/$D40)=TRUE,0,(F40/$D40))+IF(ISERROR(F41/$D41)=TRUE,0,(F41/$D41))+IF(ISERROR(F42/$D42)=TRUE,0,(F42/$D42))+IF(ISERROR(F43/$D43)=TRUE,0,(F43/$D43))+IF(ISERROR(F44/$D44)=TRUE,0,(F44/$D44))+IF(ISERROR(F45/$D45)=TRUE,0,(F45/$D45))</f>
        <v>3.3881365154652543</v>
      </c>
    </row>
    <row r="47" spans="1:8" ht="12.75" customHeight="1" thickBot="1" x14ac:dyDescent="0.25">
      <c r="A47" s="256" t="s">
        <v>148</v>
      </c>
      <c r="B47" s="262"/>
      <c r="C47" s="263" t="s">
        <v>173</v>
      </c>
      <c r="D47" s="264"/>
      <c r="E47" s="259">
        <f>IF(MATCH(C47,Списки!$M$27:$M$28,0)=1,IF(Розрахунок!$H$12=1,Списки!J32,Списки!K32),IF(Розрахунок!$H$12=1,Списки!H32,Списки!I32))</f>
        <v>3.75</v>
      </c>
      <c r="F47" s="260"/>
    </row>
    <row r="48" spans="1:8" ht="27" customHeight="1" thickBot="1" x14ac:dyDescent="0.25">
      <c r="A48" s="183" t="s">
        <v>335</v>
      </c>
      <c r="B48" s="184"/>
      <c r="C48" s="184"/>
      <c r="D48" s="184"/>
      <c r="E48" s="24">
        <f>1/(1/$G$38+(1/(1/E46+IF(1/E46&lt;0.4,0.15,IF(1/E46&lt;0.8,0.075,0))*IF($G$48=TRUE,1,0)))+1/$H$38)</f>
        <v>1.3838860376006621</v>
      </c>
      <c r="F48" s="24">
        <f>1/(1/$G$38+(1/(1/F46+IF(1/F46&lt;0.4,0.15,IF(1/F46&lt;0.8,0.075,0))*IF($G$48=TRUE,1,0)))+1/$H$38)</f>
        <v>0.40904441413601006</v>
      </c>
      <c r="G48" s="6" t="b">
        <v>1</v>
      </c>
    </row>
    <row r="50" spans="1:9" ht="60" customHeight="1" thickBot="1" x14ac:dyDescent="0.3">
      <c r="A50" s="252" t="s">
        <v>153</v>
      </c>
      <c r="B50" s="253"/>
      <c r="C50" s="256" t="s">
        <v>224</v>
      </c>
      <c r="D50" s="257"/>
      <c r="E50" s="20" t="s">
        <v>225</v>
      </c>
      <c r="F50" s="17" t="s">
        <v>148</v>
      </c>
      <c r="G50" s="44" t="s">
        <v>147</v>
      </c>
      <c r="H50" s="251" t="s">
        <v>143</v>
      </c>
      <c r="I50" s="251"/>
    </row>
    <row r="51" spans="1:9" ht="23.25" thickBot="1" x14ac:dyDescent="0.25">
      <c r="A51" s="254" t="s">
        <v>222</v>
      </c>
      <c r="B51" s="254"/>
      <c r="C51" s="258" t="s">
        <v>201</v>
      </c>
      <c r="D51" s="258"/>
      <c r="E51" s="34">
        <f>INDEX(Списки!$B$158:$B$178,MATCH(C51,Списки!$A$158:$A$178,0))</f>
        <v>0.4</v>
      </c>
      <c r="F51" s="46" t="s">
        <v>173</v>
      </c>
      <c r="G51" s="24">
        <f>1/(1/$H$52+E51+1/$I$52)</f>
        <v>1.7590822179732313</v>
      </c>
      <c r="H51" s="32" t="s">
        <v>144</v>
      </c>
      <c r="I51" s="20" t="s">
        <v>145</v>
      </c>
    </row>
    <row r="52" spans="1:9" ht="12.75" customHeight="1" thickBot="1" x14ac:dyDescent="0.25">
      <c r="A52" s="254" t="s">
        <v>223</v>
      </c>
      <c r="B52" s="254"/>
      <c r="C52" s="258" t="s">
        <v>217</v>
      </c>
      <c r="D52" s="258"/>
      <c r="E52" s="34">
        <f>INDEX(Списки!$B$158:$B$178,MATCH(C52,Списки!$A$158:$A$178,0))</f>
        <v>0.73</v>
      </c>
      <c r="F52" s="47">
        <f>IF(MATCH(F51,Списки!$M$27:$M$28,0)=1,IF(Розрахунок!$H$12=1,Списки!J33,Списки!K33),IF(Розрахунок!$H$12=1,Списки!H33,Списки!I33))</f>
        <v>0.75</v>
      </c>
      <c r="G52" s="24">
        <f>1/(1/$H$52+E52+1/$I$52)</f>
        <v>1.1129929833051053</v>
      </c>
      <c r="H52" s="45">
        <v>8</v>
      </c>
      <c r="I52" s="28">
        <v>23</v>
      </c>
    </row>
    <row r="53" spans="1:9" x14ac:dyDescent="0.2">
      <c r="A53" s="255"/>
      <c r="B53" s="255"/>
    </row>
    <row r="55" spans="1:9" ht="12" customHeight="1" x14ac:dyDescent="0.2">
      <c r="E55" s="6"/>
      <c r="F55" s="6"/>
    </row>
  </sheetData>
  <mergeCells count="43">
    <mergeCell ref="A3:F3"/>
    <mergeCell ref="G4:H4"/>
    <mergeCell ref="A14:D14"/>
    <mergeCell ref="A16:D16"/>
    <mergeCell ref="E15:F15"/>
    <mergeCell ref="C4:D4"/>
    <mergeCell ref="A4:B5"/>
    <mergeCell ref="E4:F4"/>
    <mergeCell ref="A11:B11"/>
    <mergeCell ref="A15:B15"/>
    <mergeCell ref="C15:D15"/>
    <mergeCell ref="G34:H34"/>
    <mergeCell ref="G36:H36"/>
    <mergeCell ref="G37:H37"/>
    <mergeCell ref="G18:H18"/>
    <mergeCell ref="A18:B19"/>
    <mergeCell ref="G20:H20"/>
    <mergeCell ref="G21:H21"/>
    <mergeCell ref="A31:B31"/>
    <mergeCell ref="C31:D31"/>
    <mergeCell ref="A25:B25"/>
    <mergeCell ref="A30:D30"/>
    <mergeCell ref="E31:F31"/>
    <mergeCell ref="A32:D32"/>
    <mergeCell ref="C18:D18"/>
    <mergeCell ref="E18:F18"/>
    <mergeCell ref="E47:F47"/>
    <mergeCell ref="A48:D48"/>
    <mergeCell ref="A34:B35"/>
    <mergeCell ref="C34:D34"/>
    <mergeCell ref="E34:F34"/>
    <mergeCell ref="A47:B47"/>
    <mergeCell ref="C47:D47"/>
    <mergeCell ref="A41:B41"/>
    <mergeCell ref="A46:D46"/>
    <mergeCell ref="H50:I50"/>
    <mergeCell ref="A50:B50"/>
    <mergeCell ref="A51:B51"/>
    <mergeCell ref="A52:B52"/>
    <mergeCell ref="A53:B53"/>
    <mergeCell ref="C50:D50"/>
    <mergeCell ref="C51:D51"/>
    <mergeCell ref="C52:D52"/>
  </mergeCells>
  <conditionalFormatting sqref="E14:F14">
    <cfRule type="cellIs" dxfId="3" priority="9" operator="lessThan">
      <formula>$E$15</formula>
    </cfRule>
  </conditionalFormatting>
  <conditionalFormatting sqref="E30:F30">
    <cfRule type="cellIs" dxfId="2" priority="7" operator="lessThan">
      <formula>$E$31</formula>
    </cfRule>
  </conditionalFormatting>
  <conditionalFormatting sqref="E46:F46">
    <cfRule type="cellIs" dxfId="1" priority="4" operator="lessThan">
      <formula>$E$47</formula>
    </cfRule>
  </conditionalFormatting>
  <conditionalFormatting sqref="E51:E52">
    <cfRule type="cellIs" dxfId="0" priority="2" operator="lessThan">
      <formula>$F$52</formula>
    </cfRule>
  </conditionalFormatting>
  <dataValidations count="1">
    <dataValidation type="list" allowBlank="1" showInputMessage="1" showErrorMessage="1" sqref="C15 C31">
      <formula1>$M$11:$M$12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Check Box 1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9525</xdr:rowOff>
                  </from>
                  <to>
                    <xdr:col>8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31</xdr:row>
                    <xdr:rowOff>9525</xdr:rowOff>
                  </from>
                  <to>
                    <xdr:col>8</xdr:col>
                    <xdr:colOff>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Check Box 3">
              <controlPr defaultSize="0" autoFill="0" autoLine="0" autoPict="0">
                <anchor moveWithCells="1">
                  <from>
                    <xdr:col>6</xdr:col>
                    <xdr:colOff>133350</xdr:colOff>
                    <xdr:row>47</xdr:row>
                    <xdr:rowOff>9525</xdr:rowOff>
                  </from>
                  <to>
                    <xdr:col>8</xdr:col>
                    <xdr:colOff>0</xdr:colOff>
                    <xdr:row>47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Списки!$A$72:$A$92</xm:f>
          </x14:formula1>
          <xm:sqref>B6:B10</xm:sqref>
        </x14:dataValidation>
        <x14:dataValidation type="list" allowBlank="1" showInputMessage="1" showErrorMessage="1">
          <x14:formula1>
            <xm:f>Списки!$A$151:$A$152</xm:f>
          </x14:formula1>
          <xm:sqref>G21:H21</xm:sqref>
        </x14:dataValidation>
        <x14:dataValidation type="list" allowBlank="1" showInputMessage="1" showErrorMessage="1">
          <x14:formula1>
            <xm:f>Списки!$A$93:$A$111</xm:f>
          </x14:formula1>
          <xm:sqref>B20:B24</xm:sqref>
        </x14:dataValidation>
        <x14:dataValidation type="list" allowBlank="1" showInputMessage="1" showErrorMessage="1">
          <x14:formula1>
            <xm:f>Списки!$A$126:$A$148</xm:f>
          </x14:formula1>
          <xm:sqref>B12:B13 B26:B29 B42:B45</xm:sqref>
        </x14:dataValidation>
        <x14:dataValidation type="list" allowBlank="1" showInputMessage="1" showErrorMessage="1">
          <x14:formula1>
            <xm:f>Списки!$A$154:$A$155</xm:f>
          </x14:formula1>
          <xm:sqref>G37:H37</xm:sqref>
        </x14:dataValidation>
        <x14:dataValidation type="list" allowBlank="1" showInputMessage="1" showErrorMessage="1">
          <x14:formula1>
            <xm:f>Списки!$A$112:$A$125</xm:f>
          </x14:formula1>
          <xm:sqref>B36:B40</xm:sqref>
        </x14:dataValidation>
        <x14:dataValidation type="list" allowBlank="1" showInputMessage="1" showErrorMessage="1">
          <x14:formula1>
            <xm:f>Списки!$M$27:$M$28</xm:f>
          </x14:formula1>
          <xm:sqref>C47 F51</xm:sqref>
        </x14:dataValidation>
        <x14:dataValidation type="list" allowBlank="1" showInputMessage="1" showErrorMessage="1">
          <x14:formula1>
            <xm:f>Списки!$A$158:$A$178</xm:f>
          </x14:formula1>
          <xm:sqref>C51:D52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8"/>
  <sheetViews>
    <sheetView topLeftCell="D19" workbookViewId="0">
      <selection activeCell="B42" sqref="B42:B67"/>
    </sheetView>
  </sheetViews>
  <sheetFormatPr defaultRowHeight="11.25" x14ac:dyDescent="0.2"/>
  <cols>
    <col min="1" max="1" width="34" style="2" customWidth="1"/>
    <col min="2" max="2" width="11.7109375" style="2" customWidth="1"/>
    <col min="3" max="3" width="17" style="2" customWidth="1"/>
    <col min="4" max="4" width="13.28515625" style="2" customWidth="1"/>
    <col min="5" max="5" width="18.42578125" style="2" customWidth="1"/>
    <col min="6" max="6" width="9.140625" style="2"/>
    <col min="7" max="7" width="58" style="2" customWidth="1"/>
    <col min="8" max="12" width="9.140625" style="2"/>
    <col min="13" max="13" width="19.85546875" style="2" customWidth="1"/>
    <col min="14" max="16384" width="9.140625" style="2"/>
  </cols>
  <sheetData>
    <row r="1" spans="1:4" x14ac:dyDescent="0.2">
      <c r="A1" s="21" t="s">
        <v>242</v>
      </c>
    </row>
    <row r="2" spans="1:4" ht="22.5" x14ac:dyDescent="0.2">
      <c r="A2" s="2" t="s">
        <v>240</v>
      </c>
    </row>
    <row r="3" spans="1:4" x14ac:dyDescent="0.2">
      <c r="A3" s="2" t="s">
        <v>241</v>
      </c>
    </row>
    <row r="6" spans="1:4" ht="48" customHeight="1" x14ac:dyDescent="0.2">
      <c r="A6" s="21" t="s">
        <v>243</v>
      </c>
      <c r="B6" s="2" t="s">
        <v>259</v>
      </c>
      <c r="C6" s="2" t="s">
        <v>260</v>
      </c>
    </row>
    <row r="7" spans="1:4" x14ac:dyDescent="0.2">
      <c r="A7" s="2" t="s">
        <v>244</v>
      </c>
      <c r="B7" s="1">
        <v>34</v>
      </c>
      <c r="C7" s="1">
        <v>0.20200000000000001</v>
      </c>
    </row>
    <row r="8" spans="1:4" x14ac:dyDescent="0.2">
      <c r="A8" s="2" t="s">
        <v>245</v>
      </c>
      <c r="B8" s="1">
        <v>24</v>
      </c>
      <c r="C8" s="1">
        <v>0.34060000000000001</v>
      </c>
    </row>
    <row r="9" spans="1:4" x14ac:dyDescent="0.2">
      <c r="A9" s="2" t="s">
        <v>246</v>
      </c>
      <c r="B9" s="1">
        <v>3.6</v>
      </c>
      <c r="C9" s="1">
        <v>0.91200000000000003</v>
      </c>
      <c r="D9" s="52" t="s">
        <v>261</v>
      </c>
    </row>
    <row r="10" spans="1:4" x14ac:dyDescent="0.2">
      <c r="A10" s="2" t="s">
        <v>253</v>
      </c>
      <c r="B10" s="1">
        <v>14</v>
      </c>
      <c r="C10" s="1">
        <v>0</v>
      </c>
    </row>
    <row r="11" spans="1:4" x14ac:dyDescent="0.2">
      <c r="A11" s="2" t="s">
        <v>254</v>
      </c>
      <c r="B11" s="1">
        <v>12.1</v>
      </c>
      <c r="C11" s="1">
        <v>0</v>
      </c>
    </row>
    <row r="12" spans="1:4" x14ac:dyDescent="0.2">
      <c r="A12" s="2" t="s">
        <v>255</v>
      </c>
      <c r="B12" s="1">
        <v>14.4</v>
      </c>
      <c r="C12" s="1">
        <v>0</v>
      </c>
    </row>
    <row r="13" spans="1:4" ht="15" customHeight="1" x14ac:dyDescent="0.2">
      <c r="A13" s="2" t="s">
        <v>256</v>
      </c>
      <c r="B13" s="1">
        <v>16.8</v>
      </c>
      <c r="C13" s="1">
        <v>0</v>
      </c>
    </row>
    <row r="14" spans="1:4" x14ac:dyDescent="0.2">
      <c r="A14" s="2" t="s">
        <v>257</v>
      </c>
      <c r="B14" s="1">
        <v>15.1</v>
      </c>
      <c r="C14" s="1">
        <v>0</v>
      </c>
    </row>
    <row r="15" spans="1:4" x14ac:dyDescent="0.2">
      <c r="A15" s="2" t="s">
        <v>258</v>
      </c>
      <c r="B15" s="1">
        <v>16.399999999999999</v>
      </c>
      <c r="C15" s="1">
        <v>0</v>
      </c>
    </row>
    <row r="17" spans="1:13" ht="60" customHeight="1" x14ac:dyDescent="0.2">
      <c r="A17" s="280" t="s">
        <v>15</v>
      </c>
      <c r="B17" s="280"/>
      <c r="G17" s="281" t="s">
        <v>160</v>
      </c>
      <c r="H17" s="281"/>
      <c r="I17" s="281"/>
    </row>
    <row r="18" spans="1:13" ht="13.5" x14ac:dyDescent="0.2">
      <c r="A18" s="2" t="s">
        <v>16</v>
      </c>
      <c r="B18" s="2">
        <v>1.1299999999999999</v>
      </c>
      <c r="C18" s="280" t="s">
        <v>14</v>
      </c>
      <c r="G18" s="12"/>
      <c r="H18" s="19" t="s">
        <v>141</v>
      </c>
      <c r="I18" s="19" t="s">
        <v>142</v>
      </c>
    </row>
    <row r="19" spans="1:13" ht="36" x14ac:dyDescent="0.2">
      <c r="A19" s="2" t="s">
        <v>17</v>
      </c>
      <c r="B19" s="2">
        <v>1.1000000000000001</v>
      </c>
      <c r="C19" s="280"/>
      <c r="G19" s="12" t="s">
        <v>140</v>
      </c>
      <c r="H19" s="20">
        <v>8.6999999999999993</v>
      </c>
      <c r="I19" s="20">
        <v>23</v>
      </c>
    </row>
    <row r="20" spans="1:13" ht="12" x14ac:dyDescent="0.2">
      <c r="G20" s="12" t="s">
        <v>10</v>
      </c>
      <c r="H20" s="20">
        <v>8.6999999999999993</v>
      </c>
      <c r="I20" s="20">
        <v>12</v>
      </c>
    </row>
    <row r="21" spans="1:13" ht="24" x14ac:dyDescent="0.2">
      <c r="G21" s="12" t="s">
        <v>11</v>
      </c>
      <c r="H21" s="20">
        <v>8.6999999999999993</v>
      </c>
      <c r="I21" s="20">
        <v>6</v>
      </c>
    </row>
    <row r="22" spans="1:13" ht="12" x14ac:dyDescent="0.2">
      <c r="G22" s="12" t="s">
        <v>12</v>
      </c>
      <c r="H22" s="20">
        <v>8</v>
      </c>
      <c r="I22" s="20">
        <v>23</v>
      </c>
    </row>
    <row r="23" spans="1:13" ht="12" x14ac:dyDescent="0.2">
      <c r="A23" s="2" t="s">
        <v>23</v>
      </c>
      <c r="B23" s="2">
        <v>1.02</v>
      </c>
      <c r="C23" s="2" t="s">
        <v>25</v>
      </c>
      <c r="G23" s="12" t="s">
        <v>13</v>
      </c>
      <c r="H23" s="20">
        <v>9.9</v>
      </c>
      <c r="I23" s="20">
        <v>23</v>
      </c>
    </row>
    <row r="24" spans="1:13" x14ac:dyDescent="0.2">
      <c r="A24" s="2" t="s">
        <v>24</v>
      </c>
      <c r="B24" s="2">
        <v>1.07</v>
      </c>
      <c r="C24" s="280" t="s">
        <v>26</v>
      </c>
    </row>
    <row r="25" spans="1:13" ht="11.25" customHeight="1" x14ac:dyDescent="0.2">
      <c r="A25" s="2" t="s">
        <v>21</v>
      </c>
      <c r="B25" s="2">
        <v>1.04</v>
      </c>
      <c r="C25" s="280"/>
      <c r="G25" s="35"/>
      <c r="H25" s="278" t="s">
        <v>159</v>
      </c>
      <c r="I25" s="278"/>
      <c r="J25" s="278" t="s">
        <v>173</v>
      </c>
      <c r="K25" s="278"/>
    </row>
    <row r="26" spans="1:13" ht="12" x14ac:dyDescent="0.2">
      <c r="A26" s="2" t="s">
        <v>22</v>
      </c>
      <c r="B26" s="2">
        <v>1.1000000000000001</v>
      </c>
      <c r="C26" s="280"/>
      <c r="F26" s="279" t="s">
        <v>156</v>
      </c>
      <c r="G26" s="279"/>
      <c r="H26" s="279"/>
      <c r="I26" s="279"/>
    </row>
    <row r="27" spans="1:13" ht="25.5" customHeight="1" x14ac:dyDescent="0.2">
      <c r="F27" s="20" t="s">
        <v>136</v>
      </c>
      <c r="G27" s="20" t="s">
        <v>149</v>
      </c>
      <c r="H27" s="200" t="s">
        <v>158</v>
      </c>
      <c r="I27" s="202"/>
      <c r="J27" s="200" t="s">
        <v>158</v>
      </c>
      <c r="K27" s="202"/>
      <c r="M27" s="37" t="s">
        <v>173</v>
      </c>
    </row>
    <row r="28" spans="1:13" ht="12" x14ac:dyDescent="0.2">
      <c r="A28" s="2" t="s">
        <v>27</v>
      </c>
      <c r="B28" s="2">
        <v>1.1299999999999999</v>
      </c>
      <c r="F28" s="20"/>
      <c r="G28" s="20"/>
      <c r="H28" s="20" t="s">
        <v>42</v>
      </c>
      <c r="I28" s="20" t="s">
        <v>155</v>
      </c>
      <c r="J28" s="20" t="s">
        <v>42</v>
      </c>
      <c r="K28" s="20" t="s">
        <v>155</v>
      </c>
      <c r="M28" s="9" t="s">
        <v>159</v>
      </c>
    </row>
    <row r="29" spans="1:13" ht="12" x14ac:dyDescent="0.2">
      <c r="A29" s="2" t="s">
        <v>28</v>
      </c>
      <c r="B29" s="2">
        <v>1.1100000000000001</v>
      </c>
      <c r="F29" s="20">
        <v>1</v>
      </c>
      <c r="G29" s="20" t="s">
        <v>150</v>
      </c>
      <c r="H29" s="20">
        <v>4</v>
      </c>
      <c r="I29" s="20">
        <v>3.5</v>
      </c>
      <c r="J29" s="20">
        <v>3.3</v>
      </c>
      <c r="K29" s="20">
        <v>2.8</v>
      </c>
    </row>
    <row r="30" spans="1:13" ht="12" x14ac:dyDescent="0.2">
      <c r="F30" s="20">
        <v>2</v>
      </c>
      <c r="G30" s="20" t="s">
        <v>157</v>
      </c>
      <c r="H30" s="20">
        <v>7</v>
      </c>
      <c r="I30" s="20">
        <v>6</v>
      </c>
      <c r="J30" s="20">
        <v>6</v>
      </c>
      <c r="K30" s="20">
        <v>5.5</v>
      </c>
    </row>
    <row r="31" spans="1:13" ht="24" x14ac:dyDescent="0.2">
      <c r="F31" s="20">
        <v>3</v>
      </c>
      <c r="G31" s="20" t="s">
        <v>151</v>
      </c>
      <c r="H31" s="20">
        <v>6</v>
      </c>
      <c r="I31" s="20">
        <v>5.5</v>
      </c>
      <c r="J31" s="20">
        <v>4.95</v>
      </c>
      <c r="K31" s="20">
        <v>4</v>
      </c>
    </row>
    <row r="32" spans="1:13" ht="33.75" x14ac:dyDescent="0.2">
      <c r="A32" s="2" t="s">
        <v>29</v>
      </c>
      <c r="B32" s="2">
        <v>1</v>
      </c>
      <c r="F32" s="20">
        <v>4</v>
      </c>
      <c r="G32" s="20" t="s">
        <v>152</v>
      </c>
      <c r="H32" s="20">
        <v>5</v>
      </c>
      <c r="I32" s="20">
        <v>4</v>
      </c>
      <c r="J32" s="20">
        <v>3.75</v>
      </c>
      <c r="K32" s="20">
        <v>3.3</v>
      </c>
    </row>
    <row r="33" spans="1:17" ht="22.5" x14ac:dyDescent="0.2">
      <c r="A33" s="2" t="s">
        <v>30</v>
      </c>
      <c r="B33" s="2">
        <v>0.95</v>
      </c>
      <c r="F33" s="20">
        <v>5</v>
      </c>
      <c r="G33" s="20" t="s">
        <v>153</v>
      </c>
      <c r="H33" s="20">
        <v>0.9</v>
      </c>
      <c r="I33" s="20">
        <v>0.7</v>
      </c>
      <c r="J33" s="20">
        <v>0.75</v>
      </c>
      <c r="K33" s="20">
        <v>0.6</v>
      </c>
    </row>
    <row r="34" spans="1:17" ht="45" x14ac:dyDescent="0.2">
      <c r="A34" s="2" t="s">
        <v>31</v>
      </c>
      <c r="B34" s="2">
        <v>0.9</v>
      </c>
      <c r="F34" s="20">
        <v>6</v>
      </c>
      <c r="G34" s="20" t="s">
        <v>13</v>
      </c>
      <c r="H34" s="20">
        <v>0.8</v>
      </c>
      <c r="I34" s="20">
        <v>0.7</v>
      </c>
      <c r="J34" s="36"/>
      <c r="K34" s="36"/>
    </row>
    <row r="35" spans="1:17" ht="22.5" x14ac:dyDescent="0.2">
      <c r="A35" s="2" t="s">
        <v>32</v>
      </c>
      <c r="B35" s="2">
        <v>0.85</v>
      </c>
      <c r="F35" s="20">
        <v>7</v>
      </c>
      <c r="G35" s="20" t="s">
        <v>154</v>
      </c>
      <c r="H35" s="20">
        <v>0.7</v>
      </c>
      <c r="I35" s="20">
        <v>0.6</v>
      </c>
      <c r="J35" s="20">
        <v>0.6</v>
      </c>
      <c r="K35" s="20">
        <v>0.5</v>
      </c>
    </row>
    <row r="36" spans="1:17" ht="22.5" x14ac:dyDescent="0.2">
      <c r="A36" s="2" t="s">
        <v>34</v>
      </c>
      <c r="B36" s="2">
        <v>0.7</v>
      </c>
      <c r="F36" s="41"/>
      <c r="G36" s="41"/>
      <c r="H36" s="41"/>
      <c r="I36" s="41"/>
      <c r="J36" s="41"/>
      <c r="K36" s="41"/>
    </row>
    <row r="37" spans="1:17" ht="22.5" x14ac:dyDescent="0.2">
      <c r="A37" s="2" t="s">
        <v>33</v>
      </c>
      <c r="B37" s="2">
        <v>0.5</v>
      </c>
      <c r="F37" s="41"/>
      <c r="G37" s="41"/>
      <c r="H37" s="41"/>
      <c r="I37" s="41"/>
      <c r="J37" s="41"/>
      <c r="K37" s="41"/>
    </row>
    <row r="38" spans="1:17" ht="12" x14ac:dyDescent="0.2">
      <c r="G38" s="41"/>
      <c r="H38" s="41"/>
      <c r="I38" s="41"/>
      <c r="J38" s="41"/>
      <c r="K38" s="41"/>
    </row>
    <row r="39" spans="1:17" ht="12.75" x14ac:dyDescent="0.2">
      <c r="A39" s="275" t="s">
        <v>234</v>
      </c>
      <c r="B39" s="275"/>
      <c r="C39" s="275"/>
      <c r="D39" s="275"/>
      <c r="E39" s="275"/>
      <c r="G39" s="271" t="s">
        <v>200</v>
      </c>
      <c r="H39" s="271"/>
      <c r="I39" s="271"/>
      <c r="J39" s="271"/>
      <c r="K39" s="271"/>
      <c r="L39" s="271"/>
      <c r="M39" s="271"/>
      <c r="N39" s="271"/>
      <c r="O39" s="271"/>
      <c r="P39" s="271"/>
      <c r="Q39" s="271"/>
    </row>
    <row r="40" spans="1:17" ht="22.5" x14ac:dyDescent="0.2">
      <c r="A40" s="272" t="s">
        <v>233</v>
      </c>
      <c r="B40" s="17" t="s">
        <v>231</v>
      </c>
      <c r="C40" s="273" t="s">
        <v>232</v>
      </c>
      <c r="D40" s="272" t="s">
        <v>235</v>
      </c>
      <c r="E40" s="272" t="s">
        <v>236</v>
      </c>
      <c r="G40" s="276" t="s">
        <v>174</v>
      </c>
      <c r="H40" s="276" t="s">
        <v>198</v>
      </c>
      <c r="I40" s="276" t="s">
        <v>199</v>
      </c>
      <c r="J40" s="269" t="s">
        <v>192</v>
      </c>
      <c r="K40" s="270"/>
      <c r="L40" s="269" t="s">
        <v>195</v>
      </c>
      <c r="M40" s="270"/>
      <c r="N40" s="269" t="s">
        <v>196</v>
      </c>
      <c r="O40" s="270"/>
      <c r="P40" s="269" t="s">
        <v>197</v>
      </c>
      <c r="Q40" s="270"/>
    </row>
    <row r="41" spans="1:17" ht="22.5" x14ac:dyDescent="0.2">
      <c r="A41" s="272"/>
      <c r="B41" s="50" t="s">
        <v>62</v>
      </c>
      <c r="C41" s="274"/>
      <c r="D41" s="272"/>
      <c r="E41" s="272"/>
      <c r="G41" s="277"/>
      <c r="H41" s="277"/>
      <c r="I41" s="277"/>
      <c r="J41" s="38" t="s">
        <v>193</v>
      </c>
      <c r="K41" s="38" t="s">
        <v>194</v>
      </c>
      <c r="L41" s="38" t="s">
        <v>193</v>
      </c>
      <c r="M41" s="38" t="s">
        <v>194</v>
      </c>
      <c r="N41" s="38" t="s">
        <v>193</v>
      </c>
      <c r="O41" s="38" t="s">
        <v>194</v>
      </c>
      <c r="P41" s="38" t="s">
        <v>193</v>
      </c>
      <c r="Q41" s="38" t="s">
        <v>194</v>
      </c>
    </row>
    <row r="42" spans="1:17" x14ac:dyDescent="0.2">
      <c r="A42" s="3" t="s">
        <v>36</v>
      </c>
      <c r="B42" s="5">
        <v>577.25</v>
      </c>
      <c r="C42" s="18">
        <v>-0.2</v>
      </c>
      <c r="D42" s="18">
        <v>182</v>
      </c>
      <c r="E42" s="18">
        <v>-21</v>
      </c>
      <c r="G42" s="39" t="s">
        <v>175</v>
      </c>
      <c r="H42" s="4">
        <v>24</v>
      </c>
      <c r="I42" s="40">
        <v>1.39</v>
      </c>
      <c r="J42" s="40">
        <v>0.61</v>
      </c>
      <c r="K42" s="40">
        <v>0.65</v>
      </c>
      <c r="L42" s="40">
        <v>0.63</v>
      </c>
      <c r="M42" s="40">
        <v>0.68</v>
      </c>
      <c r="N42" s="40">
        <v>0.63</v>
      </c>
      <c r="O42" s="40">
        <v>0.68</v>
      </c>
      <c r="P42" s="40"/>
      <c r="Q42" s="40"/>
    </row>
    <row r="43" spans="1:17" x14ac:dyDescent="0.2">
      <c r="A43" s="3" t="s">
        <v>37</v>
      </c>
      <c r="B43" s="5">
        <v>559.25</v>
      </c>
      <c r="C43" s="18">
        <v>-0.2</v>
      </c>
      <c r="D43" s="18">
        <v>172</v>
      </c>
      <c r="E43" s="18">
        <v>-24</v>
      </c>
      <c r="G43" s="39" t="s">
        <v>176</v>
      </c>
      <c r="H43" s="4">
        <v>24</v>
      </c>
      <c r="I43" s="40">
        <v>1.1499999999999999</v>
      </c>
      <c r="J43" s="40">
        <v>0.68</v>
      </c>
      <c r="K43" s="40">
        <v>0.73</v>
      </c>
      <c r="L43" s="40">
        <v>0.71</v>
      </c>
      <c r="M43" s="40">
        <v>0.77</v>
      </c>
      <c r="N43" s="40">
        <v>0.71</v>
      </c>
      <c r="O43" s="40">
        <v>0.76</v>
      </c>
      <c r="P43" s="40"/>
      <c r="Q43" s="40"/>
    </row>
    <row r="44" spans="1:17" x14ac:dyDescent="0.2">
      <c r="A44" s="3" t="s">
        <v>38</v>
      </c>
      <c r="B44" s="5">
        <v>569</v>
      </c>
      <c r="C44" s="18">
        <v>-0.5</v>
      </c>
      <c r="D44" s="18">
        <v>176</v>
      </c>
      <c r="E44" s="18">
        <v>-22</v>
      </c>
      <c r="G44" s="39" t="s">
        <v>177</v>
      </c>
      <c r="H44" s="4">
        <v>32</v>
      </c>
      <c r="I44" s="40">
        <v>1.97</v>
      </c>
      <c r="J44" s="40">
        <v>0.49</v>
      </c>
      <c r="K44" s="40">
        <v>0.52</v>
      </c>
      <c r="L44" s="40">
        <v>0.51</v>
      </c>
      <c r="M44" s="40">
        <v>0.53</v>
      </c>
      <c r="N44" s="40">
        <v>0.51</v>
      </c>
      <c r="O44" s="40">
        <v>0.54</v>
      </c>
      <c r="P44" s="40">
        <v>0.53</v>
      </c>
      <c r="Q44" s="40">
        <v>0.56000000000000005</v>
      </c>
    </row>
    <row r="45" spans="1:17" x14ac:dyDescent="0.2">
      <c r="A45" s="3" t="s">
        <v>39</v>
      </c>
      <c r="B45" s="5">
        <v>557.125</v>
      </c>
      <c r="C45" s="18">
        <v>-0.2</v>
      </c>
      <c r="D45" s="18">
        <v>184</v>
      </c>
      <c r="E45" s="18">
        <v>-22</v>
      </c>
      <c r="G45" s="39" t="s">
        <v>178</v>
      </c>
      <c r="H45" s="4">
        <v>32</v>
      </c>
      <c r="I45" s="40">
        <v>1.4</v>
      </c>
      <c r="J45" s="40">
        <v>0.6</v>
      </c>
      <c r="K45" s="40">
        <v>0.65</v>
      </c>
      <c r="L45" s="40">
        <v>0.63</v>
      </c>
      <c r="M45" s="40">
        <v>0.68</v>
      </c>
      <c r="N45" s="40">
        <v>0.63</v>
      </c>
      <c r="O45" s="40">
        <v>0.68</v>
      </c>
      <c r="P45" s="40">
        <v>0.65</v>
      </c>
      <c r="Q45" s="40">
        <v>0.71</v>
      </c>
    </row>
    <row r="46" spans="1:17" x14ac:dyDescent="0.2">
      <c r="A46" s="48" t="s">
        <v>40</v>
      </c>
      <c r="B46" s="49">
        <v>532.25</v>
      </c>
      <c r="C46" s="18">
        <v>0.6</v>
      </c>
      <c r="D46" s="18">
        <v>166</v>
      </c>
      <c r="E46" s="18">
        <v>-21</v>
      </c>
      <c r="G46" s="39" t="s">
        <v>179</v>
      </c>
      <c r="H46" s="4">
        <v>32</v>
      </c>
      <c r="I46" s="40">
        <v>1.18</v>
      </c>
      <c r="J46" s="40">
        <v>0.67</v>
      </c>
      <c r="K46" s="40">
        <v>0.72</v>
      </c>
      <c r="L46" s="40">
        <v>0.69</v>
      </c>
      <c r="M46" s="40">
        <v>0.76</v>
      </c>
      <c r="N46" s="40">
        <v>0.69</v>
      </c>
      <c r="O46" s="40">
        <v>0.76</v>
      </c>
      <c r="P46" s="40">
        <v>0.73</v>
      </c>
      <c r="Q46" s="40">
        <v>0.79</v>
      </c>
    </row>
    <row r="47" spans="1:17" x14ac:dyDescent="0.2">
      <c r="A47" s="3" t="s">
        <v>41</v>
      </c>
      <c r="B47" s="5">
        <v>544</v>
      </c>
      <c r="C47" s="18">
        <v>0.4</v>
      </c>
      <c r="D47" s="18">
        <v>179</v>
      </c>
      <c r="E47" s="18">
        <v>-20</v>
      </c>
      <c r="G47" s="39" t="s">
        <v>180</v>
      </c>
      <c r="H47" s="4">
        <v>32</v>
      </c>
      <c r="I47" s="40">
        <v>1.0900000000000001</v>
      </c>
      <c r="J47" s="40">
        <v>0.69</v>
      </c>
      <c r="K47" s="40">
        <v>0.76</v>
      </c>
      <c r="L47" s="40">
        <v>0.73</v>
      </c>
      <c r="M47" s="40">
        <v>0.79</v>
      </c>
      <c r="N47" s="40">
        <v>0.72</v>
      </c>
      <c r="O47" s="40">
        <v>0.79</v>
      </c>
      <c r="P47" s="40">
        <v>0.76</v>
      </c>
      <c r="Q47" s="40">
        <v>0.83</v>
      </c>
    </row>
    <row r="48" spans="1:17" x14ac:dyDescent="0.2">
      <c r="A48" s="3" t="s">
        <v>43</v>
      </c>
      <c r="B48" s="5">
        <v>556.75</v>
      </c>
      <c r="C48" s="18">
        <v>-0.1</v>
      </c>
      <c r="D48" s="18">
        <v>176</v>
      </c>
      <c r="E48" s="18">
        <v>-22</v>
      </c>
      <c r="G48" s="39" t="s">
        <v>181</v>
      </c>
      <c r="H48" s="4">
        <v>32</v>
      </c>
      <c r="I48" s="40">
        <v>0.84</v>
      </c>
      <c r="J48" s="40">
        <v>0.79</v>
      </c>
      <c r="K48" s="40">
        <v>0.87</v>
      </c>
      <c r="L48" s="40">
        <v>0.83</v>
      </c>
      <c r="M48" s="40">
        <v>0.92</v>
      </c>
      <c r="N48" s="40">
        <v>0.83</v>
      </c>
      <c r="O48" s="40">
        <v>0.91</v>
      </c>
      <c r="P48" s="40">
        <v>0.87</v>
      </c>
      <c r="Q48" s="40">
        <v>0.97</v>
      </c>
    </row>
    <row r="49" spans="1:17" x14ac:dyDescent="0.2">
      <c r="A49" s="3" t="s">
        <v>44</v>
      </c>
      <c r="B49" s="5">
        <v>584.375</v>
      </c>
      <c r="C49" s="18">
        <v>-0.3</v>
      </c>
      <c r="D49" s="18">
        <v>175</v>
      </c>
      <c r="E49" s="18">
        <v>-22</v>
      </c>
      <c r="G49" s="39" t="s">
        <v>182</v>
      </c>
      <c r="H49" s="4">
        <v>40</v>
      </c>
      <c r="I49" s="40">
        <v>1.82</v>
      </c>
      <c r="J49" s="40"/>
      <c r="K49" s="40"/>
      <c r="L49" s="40">
        <v>0.54</v>
      </c>
      <c r="M49" s="40">
        <v>0.56999999999999995</v>
      </c>
      <c r="N49" s="40">
        <v>0.54</v>
      </c>
      <c r="O49" s="40">
        <v>0.56999999999999995</v>
      </c>
      <c r="P49" s="40"/>
      <c r="Q49" s="40"/>
    </row>
    <row r="50" spans="1:17" x14ac:dyDescent="0.2">
      <c r="A50" s="3" t="s">
        <v>45</v>
      </c>
      <c r="B50" s="5">
        <v>547</v>
      </c>
      <c r="C50" s="18">
        <v>-0.4</v>
      </c>
      <c r="D50" s="18">
        <v>172</v>
      </c>
      <c r="E50" s="18">
        <v>-25</v>
      </c>
      <c r="G50" s="39" t="s">
        <v>183</v>
      </c>
      <c r="H50" s="4">
        <v>40</v>
      </c>
      <c r="I50" s="40">
        <v>1.1599999999999999</v>
      </c>
      <c r="J50" s="40"/>
      <c r="K50" s="40"/>
      <c r="L50" s="40">
        <v>0.7</v>
      </c>
      <c r="M50" s="40">
        <v>0.76</v>
      </c>
      <c r="N50" s="40">
        <v>0.7</v>
      </c>
      <c r="O50" s="40">
        <v>0.76</v>
      </c>
      <c r="P50" s="40"/>
      <c r="Q50" s="40"/>
    </row>
    <row r="51" spans="1:17" x14ac:dyDescent="0.2">
      <c r="A51" s="3" t="s">
        <v>46</v>
      </c>
      <c r="B51" s="5">
        <v>512.75</v>
      </c>
      <c r="C51" s="18">
        <v>0.3</v>
      </c>
      <c r="D51" s="18">
        <v>180</v>
      </c>
      <c r="E51" s="18">
        <v>-20</v>
      </c>
      <c r="G51" s="39" t="s">
        <v>184</v>
      </c>
      <c r="H51" s="4">
        <v>40</v>
      </c>
      <c r="I51" s="40">
        <v>0.97</v>
      </c>
      <c r="J51" s="40"/>
      <c r="K51" s="40"/>
      <c r="L51" s="40">
        <v>0.77</v>
      </c>
      <c r="M51" s="40">
        <v>0.85</v>
      </c>
      <c r="N51" s="40">
        <v>0.77</v>
      </c>
      <c r="O51" s="40">
        <v>0.85</v>
      </c>
      <c r="P51" s="40"/>
      <c r="Q51" s="40"/>
    </row>
    <row r="52" spans="1:17" x14ac:dyDescent="0.2">
      <c r="A52" s="3" t="s">
        <v>47</v>
      </c>
      <c r="B52" s="5">
        <v>536.5</v>
      </c>
      <c r="C52" s="18">
        <v>0.4</v>
      </c>
      <c r="D52" s="18">
        <v>179</v>
      </c>
      <c r="E52" s="18">
        <v>-19</v>
      </c>
      <c r="G52" s="39" t="s">
        <v>185</v>
      </c>
      <c r="H52" s="4">
        <v>40</v>
      </c>
      <c r="I52" s="40">
        <v>0.85</v>
      </c>
      <c r="J52" s="40"/>
      <c r="K52" s="40"/>
      <c r="L52" s="40">
        <v>0.83</v>
      </c>
      <c r="M52" s="40">
        <v>0.92</v>
      </c>
      <c r="N52" s="40">
        <v>0.82</v>
      </c>
      <c r="O52" s="40">
        <v>0.91</v>
      </c>
      <c r="P52" s="40"/>
      <c r="Q52" s="40"/>
    </row>
    <row r="53" spans="1:17" x14ac:dyDescent="0.2">
      <c r="A53" s="48" t="s">
        <v>48</v>
      </c>
      <c r="B53" s="49">
        <v>523.25</v>
      </c>
      <c r="C53" s="18">
        <v>1.1000000000000001</v>
      </c>
      <c r="D53" s="18">
        <v>161</v>
      </c>
      <c r="E53" s="18">
        <v>-20</v>
      </c>
      <c r="G53" s="39" t="s">
        <v>186</v>
      </c>
      <c r="H53" s="4">
        <v>40</v>
      </c>
      <c r="I53" s="40">
        <v>0.66</v>
      </c>
      <c r="J53" s="40"/>
      <c r="K53" s="40"/>
      <c r="L53" s="40">
        <v>0.93</v>
      </c>
      <c r="M53" s="40">
        <v>1.04</v>
      </c>
      <c r="N53" s="40">
        <v>0.92</v>
      </c>
      <c r="O53" s="40">
        <v>1.03</v>
      </c>
      <c r="P53" s="40"/>
      <c r="Q53" s="40"/>
    </row>
    <row r="54" spans="1:17" x14ac:dyDescent="0.2">
      <c r="A54" s="48" t="s">
        <v>49</v>
      </c>
      <c r="B54" s="49">
        <v>515.25</v>
      </c>
      <c r="C54" s="18">
        <v>2</v>
      </c>
      <c r="D54" s="18">
        <v>158</v>
      </c>
      <c r="E54" s="18">
        <v>-18</v>
      </c>
      <c r="G54" s="39" t="s">
        <v>187</v>
      </c>
      <c r="H54" s="4">
        <v>44</v>
      </c>
      <c r="I54" s="40">
        <v>1.77</v>
      </c>
      <c r="J54" s="40"/>
      <c r="K54" s="40"/>
      <c r="L54" s="40"/>
      <c r="M54" s="40"/>
      <c r="N54" s="40"/>
      <c r="O54" s="40"/>
      <c r="P54" s="40">
        <v>0.56000000000000005</v>
      </c>
      <c r="Q54" s="40">
        <v>0.6</v>
      </c>
    </row>
    <row r="55" spans="1:17" x14ac:dyDescent="0.2">
      <c r="A55" s="3" t="s">
        <v>50</v>
      </c>
      <c r="B55" s="5">
        <v>581.75</v>
      </c>
      <c r="C55" s="18">
        <v>-0.8</v>
      </c>
      <c r="D55" s="18">
        <v>178</v>
      </c>
      <c r="E55" s="18">
        <v>-23</v>
      </c>
      <c r="G55" s="39" t="s">
        <v>188</v>
      </c>
      <c r="H55" s="4">
        <v>44</v>
      </c>
      <c r="I55" s="40">
        <v>1.07</v>
      </c>
      <c r="J55" s="40"/>
      <c r="K55" s="40"/>
      <c r="L55" s="40"/>
      <c r="M55" s="40"/>
      <c r="N55" s="40"/>
      <c r="O55" s="40"/>
      <c r="P55" s="40">
        <v>0.77</v>
      </c>
      <c r="Q55" s="40">
        <v>0.84</v>
      </c>
    </row>
    <row r="56" spans="1:17" x14ac:dyDescent="0.2">
      <c r="A56" s="3" t="s">
        <v>51</v>
      </c>
      <c r="B56" s="5">
        <v>530.25</v>
      </c>
      <c r="C56" s="18">
        <v>0.1</v>
      </c>
      <c r="D56" s="18">
        <v>182</v>
      </c>
      <c r="E56" s="18">
        <v>-21</v>
      </c>
      <c r="G56" s="39" t="s">
        <v>189</v>
      </c>
      <c r="H56" s="4">
        <v>44</v>
      </c>
      <c r="I56" s="40">
        <v>0.9</v>
      </c>
      <c r="J56" s="40"/>
      <c r="K56" s="40"/>
      <c r="L56" s="40"/>
      <c r="M56" s="40"/>
      <c r="N56" s="40"/>
      <c r="O56" s="40"/>
      <c r="P56" s="40">
        <v>0.84</v>
      </c>
      <c r="Q56" s="40">
        <v>0.94</v>
      </c>
    </row>
    <row r="57" spans="1:17" x14ac:dyDescent="0.2">
      <c r="A57" s="48" t="s">
        <v>52</v>
      </c>
      <c r="B57" s="49">
        <v>521.25</v>
      </c>
      <c r="C57" s="18">
        <v>2.6</v>
      </c>
      <c r="D57" s="18">
        <v>154</v>
      </c>
      <c r="E57" s="18">
        <v>-15</v>
      </c>
      <c r="G57" s="39" t="s">
        <v>190</v>
      </c>
      <c r="H57" s="4">
        <v>44</v>
      </c>
      <c r="I57" s="40">
        <v>0.77</v>
      </c>
      <c r="J57" s="40"/>
      <c r="K57" s="40"/>
      <c r="L57" s="40"/>
      <c r="M57" s="40"/>
      <c r="N57" s="40"/>
      <c r="O57" s="40"/>
      <c r="P57" s="40">
        <v>0.91</v>
      </c>
      <c r="Q57" s="40">
        <v>1.02</v>
      </c>
    </row>
    <row r="58" spans="1:17" x14ac:dyDescent="0.2">
      <c r="A58" s="3" t="s">
        <v>53</v>
      </c>
      <c r="B58" s="5">
        <v>609.375</v>
      </c>
      <c r="C58" s="18">
        <v>-1.4</v>
      </c>
      <c r="D58" s="18">
        <v>187</v>
      </c>
      <c r="E58" s="18">
        <v>-25</v>
      </c>
      <c r="G58" s="39" t="s">
        <v>191</v>
      </c>
      <c r="H58" s="4">
        <v>44</v>
      </c>
      <c r="I58" s="40">
        <v>0.6</v>
      </c>
      <c r="J58" s="40"/>
      <c r="K58" s="40"/>
      <c r="L58" s="40"/>
      <c r="M58" s="40"/>
      <c r="N58" s="40"/>
      <c r="O58" s="40"/>
      <c r="P58" s="40">
        <v>1.02</v>
      </c>
      <c r="Q58" s="40">
        <v>1.1599999999999999</v>
      </c>
    </row>
    <row r="59" spans="1:17" x14ac:dyDescent="0.2">
      <c r="A59" s="3" t="s">
        <v>54</v>
      </c>
      <c r="B59" s="5">
        <v>559.375</v>
      </c>
      <c r="C59" s="18">
        <v>-0.2</v>
      </c>
      <c r="D59" s="18">
        <v>184</v>
      </c>
      <c r="E59" s="18">
        <v>-20</v>
      </c>
    </row>
    <row r="60" spans="1:17" x14ac:dyDescent="0.2">
      <c r="A60" s="48" t="s">
        <v>55</v>
      </c>
      <c r="B60" s="49">
        <v>436.25</v>
      </c>
      <c r="C60" s="18">
        <v>1.7</v>
      </c>
      <c r="D60" s="18">
        <v>165</v>
      </c>
      <c r="E60" s="18">
        <v>-16</v>
      </c>
    </row>
    <row r="61" spans="1:17" x14ac:dyDescent="0.2">
      <c r="A61" s="3" t="s">
        <v>56</v>
      </c>
      <c r="B61" s="5">
        <v>600.375</v>
      </c>
      <c r="C61" s="18">
        <v>-1</v>
      </c>
      <c r="D61" s="18">
        <v>179</v>
      </c>
      <c r="E61" s="18">
        <v>-23</v>
      </c>
    </row>
    <row r="62" spans="1:17" x14ac:dyDescent="0.2">
      <c r="A62" s="48" t="s">
        <v>57</v>
      </c>
      <c r="B62" s="49">
        <v>525.75</v>
      </c>
      <c r="C62" s="18">
        <v>1.3</v>
      </c>
      <c r="D62" s="18">
        <v>163</v>
      </c>
      <c r="E62" s="18">
        <v>-19</v>
      </c>
    </row>
    <row r="63" spans="1:17" x14ac:dyDescent="0.2">
      <c r="A63" s="3" t="s">
        <v>58</v>
      </c>
      <c r="B63" s="5">
        <v>563</v>
      </c>
      <c r="C63" s="18">
        <v>-0.1</v>
      </c>
      <c r="D63" s="18">
        <v>183</v>
      </c>
      <c r="E63" s="18">
        <v>-21</v>
      </c>
    </row>
    <row r="64" spans="1:17" x14ac:dyDescent="0.2">
      <c r="A64" s="3" t="s">
        <v>59</v>
      </c>
      <c r="B64" s="5">
        <v>577</v>
      </c>
      <c r="C64" s="18">
        <v>-0.3</v>
      </c>
      <c r="D64" s="18">
        <v>178</v>
      </c>
      <c r="E64" s="18">
        <v>-21</v>
      </c>
    </row>
    <row r="65" spans="1:5" x14ac:dyDescent="0.2">
      <c r="A65" s="3" t="s">
        <v>60</v>
      </c>
      <c r="B65" s="5">
        <v>533.625</v>
      </c>
      <c r="C65" s="18">
        <v>0.5</v>
      </c>
      <c r="D65" s="18">
        <v>175</v>
      </c>
      <c r="E65" s="18">
        <v>-20</v>
      </c>
    </row>
    <row r="66" spans="1:5" x14ac:dyDescent="0.2">
      <c r="A66" s="3" t="s">
        <v>61</v>
      </c>
      <c r="B66" s="5">
        <v>568.5</v>
      </c>
      <c r="C66" s="18">
        <v>-0.9</v>
      </c>
      <c r="D66" s="18">
        <v>187</v>
      </c>
      <c r="E66" s="18">
        <v>-23</v>
      </c>
    </row>
    <row r="67" spans="1:5" x14ac:dyDescent="0.2">
      <c r="A67" s="48" t="s">
        <v>64</v>
      </c>
      <c r="B67" s="49">
        <v>363.625</v>
      </c>
      <c r="C67" s="18">
        <v>5.3</v>
      </c>
      <c r="D67" s="18">
        <v>126</v>
      </c>
      <c r="E67" s="18">
        <v>-6</v>
      </c>
    </row>
    <row r="70" spans="1:5" x14ac:dyDescent="0.2">
      <c r="A70" s="280" t="s">
        <v>80</v>
      </c>
      <c r="B70" s="280"/>
    </row>
    <row r="71" spans="1:5" ht="33.75" x14ac:dyDescent="0.2">
      <c r="A71" s="2" t="s">
        <v>81</v>
      </c>
      <c r="B71" s="2" t="s">
        <v>82</v>
      </c>
    </row>
    <row r="72" spans="1:5" x14ac:dyDescent="0.2">
      <c r="A72" s="7" t="s">
        <v>114</v>
      </c>
      <c r="B72" s="7">
        <v>1.05</v>
      </c>
    </row>
    <row r="73" spans="1:5" x14ac:dyDescent="0.2">
      <c r="A73" s="7" t="s">
        <v>115</v>
      </c>
      <c r="B73" s="7">
        <v>0.93</v>
      </c>
    </row>
    <row r="74" spans="1:5" x14ac:dyDescent="0.2">
      <c r="A74" s="7" t="s">
        <v>116</v>
      </c>
      <c r="B74" s="7">
        <v>3.49</v>
      </c>
    </row>
    <row r="75" spans="1:5" x14ac:dyDescent="0.2">
      <c r="A75" s="7" t="s">
        <v>117</v>
      </c>
      <c r="B75" s="7">
        <v>2.91</v>
      </c>
    </row>
    <row r="76" spans="1:5" x14ac:dyDescent="0.2">
      <c r="A76" s="7" t="s">
        <v>83</v>
      </c>
      <c r="B76" s="7">
        <v>2.04</v>
      </c>
    </row>
    <row r="77" spans="1:5" x14ac:dyDescent="0.2">
      <c r="A77" s="7" t="s">
        <v>84</v>
      </c>
      <c r="B77" s="7">
        <v>1.86</v>
      </c>
    </row>
    <row r="78" spans="1:5" x14ac:dyDescent="0.2">
      <c r="A78" s="7" t="s">
        <v>85</v>
      </c>
      <c r="B78" s="7">
        <v>0.81</v>
      </c>
    </row>
    <row r="79" spans="1:5" x14ac:dyDescent="0.2">
      <c r="A79" s="7" t="s">
        <v>92</v>
      </c>
      <c r="B79" s="7">
        <v>0.47</v>
      </c>
    </row>
    <row r="80" spans="1:5" x14ac:dyDescent="0.2">
      <c r="A80" s="7" t="s">
        <v>93</v>
      </c>
      <c r="B80" s="7">
        <v>0.26</v>
      </c>
    </row>
    <row r="81" spans="1:2" x14ac:dyDescent="0.2">
      <c r="A81" s="7" t="s">
        <v>94</v>
      </c>
      <c r="B81" s="7">
        <v>0.81</v>
      </c>
    </row>
    <row r="82" spans="1:2" x14ac:dyDescent="0.2">
      <c r="A82" s="7" t="s">
        <v>95</v>
      </c>
      <c r="B82" s="7">
        <v>0.87</v>
      </c>
    </row>
    <row r="83" spans="1:2" ht="22.5" x14ac:dyDescent="0.2">
      <c r="A83" s="7" t="s">
        <v>96</v>
      </c>
      <c r="B83" s="7">
        <v>0.57999999999999996</v>
      </c>
    </row>
    <row r="84" spans="1:2" ht="22.5" x14ac:dyDescent="0.2">
      <c r="A84" s="7" t="s">
        <v>97</v>
      </c>
      <c r="B84" s="7">
        <v>0.76</v>
      </c>
    </row>
    <row r="85" spans="1:2" x14ac:dyDescent="0.2">
      <c r="A85" s="7" t="s">
        <v>118</v>
      </c>
      <c r="B85" s="7">
        <v>0.5</v>
      </c>
    </row>
    <row r="86" spans="1:2" x14ac:dyDescent="0.2">
      <c r="A86" s="7" t="s">
        <v>111</v>
      </c>
      <c r="B86" s="7">
        <v>0.81</v>
      </c>
    </row>
    <row r="87" spans="1:2" x14ac:dyDescent="0.2">
      <c r="A87" s="7" t="s">
        <v>113</v>
      </c>
      <c r="B87" s="7">
        <v>0.3</v>
      </c>
    </row>
    <row r="88" spans="1:2" x14ac:dyDescent="0.2">
      <c r="A88" s="7" t="s">
        <v>98</v>
      </c>
      <c r="B88" s="7">
        <v>0.2</v>
      </c>
    </row>
    <row r="89" spans="1:2" x14ac:dyDescent="0.2">
      <c r="A89" s="7" t="s">
        <v>99</v>
      </c>
      <c r="B89" s="7">
        <v>0.18</v>
      </c>
    </row>
    <row r="90" spans="1:2" x14ac:dyDescent="0.2">
      <c r="A90" s="7" t="s">
        <v>101</v>
      </c>
      <c r="B90" s="7">
        <v>0.23</v>
      </c>
    </row>
    <row r="91" spans="1:2" x14ac:dyDescent="0.2">
      <c r="A91" s="7" t="s">
        <v>100</v>
      </c>
      <c r="B91" s="7">
        <v>0.2</v>
      </c>
    </row>
    <row r="92" spans="1:2" x14ac:dyDescent="0.2">
      <c r="A92" s="7" t="s">
        <v>112</v>
      </c>
      <c r="B92" s="7">
        <v>0.23</v>
      </c>
    </row>
    <row r="93" spans="1:2" x14ac:dyDescent="0.2">
      <c r="A93" s="8" t="s">
        <v>106</v>
      </c>
      <c r="B93" s="8">
        <v>0.52</v>
      </c>
    </row>
    <row r="94" spans="1:2" x14ac:dyDescent="0.2">
      <c r="A94" s="8" t="s">
        <v>109</v>
      </c>
      <c r="B94" s="8">
        <v>58</v>
      </c>
    </row>
    <row r="95" spans="1:2" x14ac:dyDescent="0.2">
      <c r="A95" s="8" t="s">
        <v>119</v>
      </c>
      <c r="B95" s="8">
        <v>0.85</v>
      </c>
    </row>
    <row r="96" spans="1:2" x14ac:dyDescent="0.2">
      <c r="A96" s="8" t="s">
        <v>104</v>
      </c>
      <c r="B96" s="8">
        <v>0.17</v>
      </c>
    </row>
    <row r="97" spans="1:2" x14ac:dyDescent="0.2">
      <c r="A97" s="8" t="s">
        <v>124</v>
      </c>
      <c r="B97" s="8">
        <v>0.23</v>
      </c>
    </row>
    <row r="98" spans="1:2" x14ac:dyDescent="0.2">
      <c r="A98" s="8" t="s">
        <v>125</v>
      </c>
      <c r="B98" s="8">
        <v>0.3</v>
      </c>
    </row>
    <row r="99" spans="1:2" x14ac:dyDescent="0.2">
      <c r="A99" s="8" t="s">
        <v>98</v>
      </c>
      <c r="B99" s="8">
        <v>0.2</v>
      </c>
    </row>
    <row r="100" spans="1:2" x14ac:dyDescent="0.2">
      <c r="A100" s="8" t="s">
        <v>99</v>
      </c>
      <c r="B100" s="8">
        <v>0.18</v>
      </c>
    </row>
    <row r="101" spans="1:2" x14ac:dyDescent="0.2">
      <c r="A101" s="8" t="s">
        <v>101</v>
      </c>
      <c r="B101" s="8">
        <v>0.23</v>
      </c>
    </row>
    <row r="102" spans="1:2" x14ac:dyDescent="0.2">
      <c r="A102" s="8" t="s">
        <v>107</v>
      </c>
      <c r="B102" s="8">
        <v>0.27</v>
      </c>
    </row>
    <row r="103" spans="1:2" x14ac:dyDescent="0.2">
      <c r="A103" s="8" t="s">
        <v>103</v>
      </c>
      <c r="B103" s="8">
        <v>0.57999999999999996</v>
      </c>
    </row>
    <row r="104" spans="1:2" x14ac:dyDescent="0.2">
      <c r="A104" s="8" t="s">
        <v>83</v>
      </c>
      <c r="B104" s="8">
        <v>2.04</v>
      </c>
    </row>
    <row r="105" spans="1:2" x14ac:dyDescent="0.2">
      <c r="A105" s="8" t="s">
        <v>84</v>
      </c>
      <c r="B105" s="8">
        <v>1.86</v>
      </c>
    </row>
    <row r="106" spans="1:2" x14ac:dyDescent="0.2">
      <c r="A106" s="8" t="s">
        <v>85</v>
      </c>
      <c r="B106" s="8">
        <v>0.81</v>
      </c>
    </row>
    <row r="107" spans="1:2" x14ac:dyDescent="0.2">
      <c r="A107" s="8" t="s">
        <v>102</v>
      </c>
      <c r="B107" s="8">
        <v>0.23</v>
      </c>
    </row>
    <row r="108" spans="1:2" x14ac:dyDescent="0.2">
      <c r="A108" s="8" t="s">
        <v>111</v>
      </c>
      <c r="B108" s="8">
        <v>0.81</v>
      </c>
    </row>
    <row r="109" spans="1:2" x14ac:dyDescent="0.2">
      <c r="A109" s="8" t="s">
        <v>113</v>
      </c>
      <c r="B109" s="8">
        <v>0.3</v>
      </c>
    </row>
    <row r="110" spans="1:2" x14ac:dyDescent="0.2">
      <c r="A110" s="8" t="s">
        <v>100</v>
      </c>
      <c r="B110" s="8">
        <v>0.2</v>
      </c>
    </row>
    <row r="111" spans="1:2" x14ac:dyDescent="0.2">
      <c r="A111" s="8" t="s">
        <v>112</v>
      </c>
      <c r="B111" s="8">
        <v>0.23</v>
      </c>
    </row>
    <row r="112" spans="1:2" x14ac:dyDescent="0.2">
      <c r="A112" s="10" t="s">
        <v>83</v>
      </c>
      <c r="B112" s="10">
        <v>2.04</v>
      </c>
    </row>
    <row r="113" spans="1:2" x14ac:dyDescent="0.2">
      <c r="A113" s="10" t="s">
        <v>84</v>
      </c>
      <c r="B113" s="10">
        <v>1.86</v>
      </c>
    </row>
    <row r="114" spans="1:2" x14ac:dyDescent="0.2">
      <c r="A114" s="10" t="s">
        <v>85</v>
      </c>
      <c r="B114" s="10">
        <v>0.81</v>
      </c>
    </row>
    <row r="115" spans="1:2" x14ac:dyDescent="0.2">
      <c r="A115" s="10" t="s">
        <v>102</v>
      </c>
      <c r="B115" s="10">
        <v>0.23</v>
      </c>
    </row>
    <row r="116" spans="1:2" x14ac:dyDescent="0.2">
      <c r="A116" s="10" t="s">
        <v>111</v>
      </c>
      <c r="B116" s="10">
        <v>0.81</v>
      </c>
    </row>
    <row r="117" spans="1:2" x14ac:dyDescent="0.2">
      <c r="A117" s="10" t="s">
        <v>98</v>
      </c>
      <c r="B117" s="10">
        <v>0.2</v>
      </c>
    </row>
    <row r="118" spans="1:2" x14ac:dyDescent="0.2">
      <c r="A118" s="10" t="s">
        <v>99</v>
      </c>
      <c r="B118" s="10">
        <v>0.18</v>
      </c>
    </row>
    <row r="119" spans="1:2" x14ac:dyDescent="0.2">
      <c r="A119" s="10" t="s">
        <v>105</v>
      </c>
      <c r="B119" s="10">
        <v>0.35</v>
      </c>
    </row>
    <row r="120" spans="1:2" x14ac:dyDescent="0.2">
      <c r="A120" s="10" t="s">
        <v>138</v>
      </c>
      <c r="B120" s="10">
        <v>0.42</v>
      </c>
    </row>
    <row r="121" spans="1:2" x14ac:dyDescent="0.2">
      <c r="A121" s="10" t="s">
        <v>137</v>
      </c>
      <c r="B121" s="10">
        <v>0.23</v>
      </c>
    </row>
    <row r="122" spans="1:2" ht="11.25" customHeight="1" x14ac:dyDescent="0.2">
      <c r="A122" s="10" t="s">
        <v>107</v>
      </c>
      <c r="B122" s="10">
        <v>0.27</v>
      </c>
    </row>
    <row r="123" spans="1:2" x14ac:dyDescent="0.2">
      <c r="A123" s="10" t="s">
        <v>108</v>
      </c>
      <c r="B123" s="10">
        <v>1.05</v>
      </c>
    </row>
    <row r="124" spans="1:2" x14ac:dyDescent="0.2">
      <c r="A124" s="10" t="s">
        <v>109</v>
      </c>
      <c r="B124" s="10">
        <v>58</v>
      </c>
    </row>
    <row r="125" spans="1:2" x14ac:dyDescent="0.2">
      <c r="A125" s="10" t="s">
        <v>110</v>
      </c>
      <c r="B125" s="10">
        <v>221</v>
      </c>
    </row>
    <row r="126" spans="1:2" x14ac:dyDescent="0.2">
      <c r="A126" s="9" t="s">
        <v>120</v>
      </c>
      <c r="B126" s="9">
        <v>7.0000000000000007E-2</v>
      </c>
    </row>
    <row r="127" spans="1:2" x14ac:dyDescent="0.2">
      <c r="A127" s="9" t="s">
        <v>121</v>
      </c>
      <c r="B127" s="9">
        <v>0.11</v>
      </c>
    </row>
    <row r="128" spans="1:2" x14ac:dyDescent="0.2">
      <c r="A128" s="9" t="s">
        <v>122</v>
      </c>
      <c r="B128" s="9">
        <v>0.09</v>
      </c>
    </row>
    <row r="129" spans="1:2" x14ac:dyDescent="0.2">
      <c r="A129" s="9" t="s">
        <v>128</v>
      </c>
      <c r="B129" s="9">
        <v>5.3999999999999999E-2</v>
      </c>
    </row>
    <row r="130" spans="1:2" x14ac:dyDescent="0.2">
      <c r="A130" s="9" t="s">
        <v>127</v>
      </c>
      <c r="B130" s="9">
        <v>5.1999999999999998E-2</v>
      </c>
    </row>
    <row r="131" spans="1:2" ht="11.25" customHeight="1" x14ac:dyDescent="0.2">
      <c r="A131" s="9" t="s">
        <v>126</v>
      </c>
      <c r="B131" s="9">
        <v>0.05</v>
      </c>
    </row>
    <row r="132" spans="1:2" x14ac:dyDescent="0.2">
      <c r="A132" s="9" t="s">
        <v>129</v>
      </c>
      <c r="B132" s="9">
        <v>0.05</v>
      </c>
    </row>
    <row r="133" spans="1:2" x14ac:dyDescent="0.2">
      <c r="A133" s="9" t="s">
        <v>130</v>
      </c>
      <c r="B133" s="9">
        <v>0.05</v>
      </c>
    </row>
    <row r="134" spans="1:2" x14ac:dyDescent="0.2">
      <c r="A134" s="9" t="s">
        <v>131</v>
      </c>
      <c r="B134" s="9">
        <v>3.6999999999999998E-2</v>
      </c>
    </row>
    <row r="135" spans="1:2" x14ac:dyDescent="0.2">
      <c r="A135" s="9" t="s">
        <v>132</v>
      </c>
      <c r="B135" s="9">
        <v>4.3999999999999997E-2</v>
      </c>
    </row>
    <row r="136" spans="1:2" x14ac:dyDescent="0.2">
      <c r="A136" s="9" t="s">
        <v>133</v>
      </c>
      <c r="B136" s="9">
        <v>4.5999999999999999E-2</v>
      </c>
    </row>
    <row r="137" spans="1:2" ht="22.5" x14ac:dyDescent="0.2">
      <c r="A137" s="9" t="s">
        <v>134</v>
      </c>
      <c r="B137" s="9">
        <v>4.2999999999999997E-2</v>
      </c>
    </row>
    <row r="138" spans="1:2" ht="22.5" x14ac:dyDescent="0.2">
      <c r="A138" s="9" t="s">
        <v>135</v>
      </c>
      <c r="B138" s="9">
        <v>6.7000000000000004E-2</v>
      </c>
    </row>
    <row r="139" spans="1:2" x14ac:dyDescent="0.2">
      <c r="A139" s="9" t="s">
        <v>123</v>
      </c>
      <c r="B139" s="9">
        <v>0.06</v>
      </c>
    </row>
    <row r="140" spans="1:2" x14ac:dyDescent="0.2">
      <c r="A140" s="9" t="s">
        <v>104</v>
      </c>
      <c r="B140" s="9">
        <v>0.17</v>
      </c>
    </row>
    <row r="141" spans="1:2" x14ac:dyDescent="0.2">
      <c r="A141" s="9" t="s">
        <v>124</v>
      </c>
      <c r="B141" s="9">
        <v>0.23</v>
      </c>
    </row>
    <row r="142" spans="1:2" x14ac:dyDescent="0.2">
      <c r="A142" s="9" t="s">
        <v>125</v>
      </c>
      <c r="B142" s="9">
        <v>0.3</v>
      </c>
    </row>
    <row r="143" spans="1:2" x14ac:dyDescent="0.2">
      <c r="A143" s="9" t="s">
        <v>99</v>
      </c>
      <c r="B143" s="9">
        <v>0.18</v>
      </c>
    </row>
    <row r="144" spans="1:2" x14ac:dyDescent="0.2">
      <c r="A144" s="9" t="s">
        <v>107</v>
      </c>
      <c r="B144" s="9">
        <v>0.27</v>
      </c>
    </row>
    <row r="145" spans="1:3" x14ac:dyDescent="0.2">
      <c r="A145" s="9" t="s">
        <v>103</v>
      </c>
      <c r="B145" s="9">
        <v>0.57999999999999996</v>
      </c>
    </row>
    <row r="146" spans="1:3" x14ac:dyDescent="0.2">
      <c r="A146" s="9" t="s">
        <v>111</v>
      </c>
      <c r="B146" s="9">
        <v>0.81</v>
      </c>
    </row>
    <row r="147" spans="1:3" x14ac:dyDescent="0.2">
      <c r="A147" s="9" t="s">
        <v>100</v>
      </c>
      <c r="B147" s="9">
        <v>0.2</v>
      </c>
    </row>
    <row r="148" spans="1:3" x14ac:dyDescent="0.2">
      <c r="A148" s="9" t="s">
        <v>102</v>
      </c>
      <c r="B148" s="9">
        <v>0.23</v>
      </c>
    </row>
    <row r="151" spans="1:3" ht="11.25" customHeight="1" x14ac:dyDescent="0.2">
      <c r="A151" s="17" t="s">
        <v>165</v>
      </c>
      <c r="B151" s="18">
        <v>8.6999999999999993</v>
      </c>
      <c r="C151" s="18">
        <v>23</v>
      </c>
    </row>
    <row r="152" spans="1:3" x14ac:dyDescent="0.2">
      <c r="A152" s="17" t="s">
        <v>164</v>
      </c>
      <c r="B152" s="18">
        <v>8.6999999999999993</v>
      </c>
      <c r="C152" s="18">
        <v>12</v>
      </c>
    </row>
    <row r="153" spans="1:3" ht="11.25" customHeight="1" x14ac:dyDescent="0.2">
      <c r="B153" s="1"/>
      <c r="C153" s="1"/>
    </row>
    <row r="154" spans="1:3" ht="12" x14ac:dyDescent="0.2">
      <c r="A154" s="17" t="s">
        <v>170</v>
      </c>
      <c r="B154" s="20">
        <v>8.6999999999999993</v>
      </c>
      <c r="C154" s="20">
        <v>12</v>
      </c>
    </row>
    <row r="155" spans="1:3" ht="12" x14ac:dyDescent="0.2">
      <c r="A155" s="17" t="s">
        <v>171</v>
      </c>
      <c r="B155" s="20">
        <v>8.6999999999999993</v>
      </c>
      <c r="C155" s="20">
        <v>6</v>
      </c>
    </row>
    <row r="156" spans="1:3" ht="11.25" customHeight="1" x14ac:dyDescent="0.2"/>
    <row r="157" spans="1:3" ht="22.5" x14ac:dyDescent="0.2">
      <c r="B157" s="42" t="s">
        <v>193</v>
      </c>
      <c r="C157" s="38" t="s">
        <v>194</v>
      </c>
    </row>
    <row r="158" spans="1:3" x14ac:dyDescent="0.2">
      <c r="A158" s="17" t="s">
        <v>201</v>
      </c>
      <c r="B158" s="43">
        <v>0.4</v>
      </c>
    </row>
    <row r="159" spans="1:3" ht="11.25" customHeight="1" x14ac:dyDescent="0.2">
      <c r="A159" s="17" t="s">
        <v>202</v>
      </c>
      <c r="B159" s="43">
        <v>0.44</v>
      </c>
    </row>
    <row r="160" spans="1:3" ht="22.5" x14ac:dyDescent="0.2">
      <c r="A160" s="17" t="s">
        <v>203</v>
      </c>
      <c r="B160" s="43">
        <v>0.55000000000000004</v>
      </c>
    </row>
    <row r="161" spans="1:3" ht="22.5" x14ac:dyDescent="0.2">
      <c r="A161" s="17" t="s">
        <v>204</v>
      </c>
      <c r="B161" s="43">
        <v>0.31</v>
      </c>
    </row>
    <row r="162" spans="1:3" ht="11.25" customHeight="1" x14ac:dyDescent="0.2">
      <c r="A162" s="39" t="s">
        <v>215</v>
      </c>
      <c r="B162" s="40">
        <v>0.63</v>
      </c>
      <c r="C162" s="40">
        <v>0.68</v>
      </c>
    </row>
    <row r="163" spans="1:3" x14ac:dyDescent="0.2">
      <c r="A163" s="39" t="s">
        <v>205</v>
      </c>
      <c r="B163" s="40">
        <v>0.71</v>
      </c>
      <c r="C163" s="40">
        <v>0.77</v>
      </c>
    </row>
    <row r="164" spans="1:3" x14ac:dyDescent="0.2">
      <c r="A164" s="39" t="s">
        <v>206</v>
      </c>
      <c r="B164" s="40">
        <v>0.51</v>
      </c>
      <c r="C164" s="40">
        <v>0.53</v>
      </c>
    </row>
    <row r="165" spans="1:3" x14ac:dyDescent="0.2">
      <c r="A165" s="39" t="s">
        <v>216</v>
      </c>
      <c r="B165" s="40">
        <v>0.63</v>
      </c>
      <c r="C165" s="40">
        <v>0.68</v>
      </c>
    </row>
    <row r="166" spans="1:3" x14ac:dyDescent="0.2">
      <c r="A166" s="39" t="s">
        <v>207</v>
      </c>
      <c r="B166" s="40">
        <v>0.69</v>
      </c>
      <c r="C166" s="40">
        <v>0.76</v>
      </c>
    </row>
    <row r="167" spans="1:3" x14ac:dyDescent="0.2">
      <c r="A167" s="39" t="s">
        <v>217</v>
      </c>
      <c r="B167" s="40">
        <v>0.73</v>
      </c>
      <c r="C167" s="40">
        <v>0.79</v>
      </c>
    </row>
    <row r="168" spans="1:3" x14ac:dyDescent="0.2">
      <c r="A168" s="39" t="s">
        <v>208</v>
      </c>
      <c r="B168" s="40">
        <v>0.83</v>
      </c>
      <c r="C168" s="40">
        <v>0.92</v>
      </c>
    </row>
    <row r="169" spans="1:3" x14ac:dyDescent="0.2">
      <c r="A169" s="39" t="s">
        <v>209</v>
      </c>
      <c r="B169" s="40">
        <v>0.54</v>
      </c>
      <c r="C169" s="40">
        <v>0.56999999999999995</v>
      </c>
    </row>
    <row r="170" spans="1:3" x14ac:dyDescent="0.2">
      <c r="A170" s="39" t="s">
        <v>218</v>
      </c>
      <c r="B170" s="40">
        <v>0.7</v>
      </c>
      <c r="C170" s="40">
        <v>0.76</v>
      </c>
    </row>
    <row r="171" spans="1:3" x14ac:dyDescent="0.2">
      <c r="A171" s="39" t="s">
        <v>210</v>
      </c>
      <c r="B171" s="40">
        <v>0.77</v>
      </c>
      <c r="C171" s="40">
        <v>0.85</v>
      </c>
    </row>
    <row r="172" spans="1:3" x14ac:dyDescent="0.2">
      <c r="A172" s="39" t="s">
        <v>219</v>
      </c>
      <c r="B172" s="40">
        <v>0.83</v>
      </c>
      <c r="C172" s="40">
        <v>0.92</v>
      </c>
    </row>
    <row r="173" spans="1:3" x14ac:dyDescent="0.2">
      <c r="A173" s="39" t="s">
        <v>211</v>
      </c>
      <c r="B173" s="40">
        <v>0.93</v>
      </c>
      <c r="C173" s="40">
        <v>1.04</v>
      </c>
    </row>
    <row r="174" spans="1:3" x14ac:dyDescent="0.2">
      <c r="A174" s="39" t="s">
        <v>212</v>
      </c>
      <c r="B174" s="40">
        <v>0.56000000000000005</v>
      </c>
      <c r="C174" s="40">
        <v>0.6</v>
      </c>
    </row>
    <row r="175" spans="1:3" x14ac:dyDescent="0.2">
      <c r="A175" s="39" t="s">
        <v>220</v>
      </c>
      <c r="B175" s="40">
        <v>0.77</v>
      </c>
      <c r="C175" s="40">
        <v>0.84</v>
      </c>
    </row>
    <row r="176" spans="1:3" x14ac:dyDescent="0.2">
      <c r="A176" s="39" t="s">
        <v>213</v>
      </c>
      <c r="B176" s="40">
        <v>0.84</v>
      </c>
      <c r="C176" s="40">
        <v>0.94</v>
      </c>
    </row>
    <row r="177" spans="1:3" x14ac:dyDescent="0.2">
      <c r="A177" s="39" t="s">
        <v>221</v>
      </c>
      <c r="B177" s="40">
        <v>0.91</v>
      </c>
      <c r="C177" s="40">
        <v>1.02</v>
      </c>
    </row>
    <row r="178" spans="1:3" x14ac:dyDescent="0.2">
      <c r="A178" s="39" t="s">
        <v>214</v>
      </c>
      <c r="B178" s="40">
        <v>1.02</v>
      </c>
      <c r="C178" s="40">
        <v>1.1599999999999999</v>
      </c>
    </row>
  </sheetData>
  <mergeCells count="23">
    <mergeCell ref="A17:B17"/>
    <mergeCell ref="C18:C19"/>
    <mergeCell ref="C24:C26"/>
    <mergeCell ref="A70:B70"/>
    <mergeCell ref="G17:I17"/>
    <mergeCell ref="H25:I25"/>
    <mergeCell ref="J25:K25"/>
    <mergeCell ref="J27:K27"/>
    <mergeCell ref="F26:I26"/>
    <mergeCell ref="H27:I27"/>
    <mergeCell ref="N40:O40"/>
    <mergeCell ref="P40:Q40"/>
    <mergeCell ref="G39:Q39"/>
    <mergeCell ref="A40:A41"/>
    <mergeCell ref="C40:C41"/>
    <mergeCell ref="D40:D41"/>
    <mergeCell ref="A39:E39"/>
    <mergeCell ref="E40:E41"/>
    <mergeCell ref="G40:G41"/>
    <mergeCell ref="H40:H41"/>
    <mergeCell ref="I40:I41"/>
    <mergeCell ref="J40:K40"/>
    <mergeCell ref="L40:M40"/>
  </mergeCells>
  <conditionalFormatting sqref="H42:Q58">
    <cfRule type="colorScale" priority="4">
      <colorScale>
        <cfvo type="num" val="0"/>
        <cfvo type="max"/>
        <color rgb="FFFF7128"/>
        <color rgb="FFFFEF9C"/>
      </colorScale>
    </cfRule>
  </conditionalFormatting>
  <conditionalFormatting sqref="B162:C173">
    <cfRule type="colorScale" priority="3">
      <colorScale>
        <cfvo type="num" val="0"/>
        <cfvo type="max"/>
        <color rgb="FFFF7128"/>
        <color rgb="FFFFEF9C"/>
      </colorScale>
    </cfRule>
  </conditionalFormatting>
  <conditionalFormatting sqref="B174:C178">
    <cfRule type="colorScale" priority="2">
      <colorScale>
        <cfvo type="num" val="0"/>
        <cfvo type="max"/>
        <color rgb="FFFF7128"/>
        <color rgb="FFFFEF9C"/>
      </colorScale>
    </cfRule>
  </conditionalFormatting>
  <conditionalFormatting sqref="B158:B161">
    <cfRule type="colorScale" priority="1">
      <colorScale>
        <cfvo type="num" val="0"/>
        <cfvo type="max"/>
        <color rgb="FFFF7128"/>
        <color rgb="FFFFEF9C"/>
      </colorScale>
    </cfRule>
  </conditionalFormatting>
  <hyperlinks>
    <hyperlink ref="D9" r:id="rId1" display="https://www.dropbox.com/sh/wkqix7yyphh7ikf/AABUjoVZY0upPcyn_MJiSIDVa?dl=0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"/>
  <sheetViews>
    <sheetView workbookViewId="0"/>
  </sheetViews>
  <sheetFormatPr defaultRowHeight="15" x14ac:dyDescent="0.25"/>
  <sheetData>
    <row r="1" spans="2:14" x14ac:dyDescent="0.25">
      <c r="B1" s="101" t="s">
        <v>293</v>
      </c>
      <c r="K1" t="s">
        <v>303</v>
      </c>
      <c r="N1" s="100" t="s">
        <v>304</v>
      </c>
    </row>
    <row r="3" spans="2:14" x14ac:dyDescent="0.25">
      <c r="B3" s="102" t="s">
        <v>294</v>
      </c>
    </row>
  </sheetData>
  <hyperlinks>
    <hyperlink ref="B1" r:id="rId1"/>
    <hyperlink ref="N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Розрахунок</vt:lpstr>
      <vt:lpstr>CashFlow</vt:lpstr>
      <vt:lpstr>Терм_опір</vt:lpstr>
      <vt:lpstr>Списки</vt:lpstr>
      <vt:lpstr>Тарифи ЦО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Kramar</dc:creator>
  <cp:lastModifiedBy>Kramar</cp:lastModifiedBy>
  <dcterms:created xsi:type="dcterms:W3CDTF">2022-09-27T11:34:54Z</dcterms:created>
  <dcterms:modified xsi:type="dcterms:W3CDTF">2023-03-15T12:42:37Z</dcterms:modified>
</cp:coreProperties>
</file>