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KRAMAR\+++Карантин-2020\+Заявки, нові проекти\++SELNEE-продовження 2022_Трибой\Work\Розрахунки_Заходи\+Готові\"/>
    </mc:Choice>
  </mc:AlternateContent>
  <bookViews>
    <workbookView xWindow="-120" yWindow="-120" windowWidth="29040" windowHeight="15840" tabRatio="851"/>
  </bookViews>
  <sheets>
    <sheet name="Розрахунок" sheetId="123" r:id="rId1"/>
    <sheet name="CashFlow" sheetId="125" r:id="rId2"/>
    <sheet name="Списки" sheetId="124" r:id="rId3"/>
    <sheet name="Тарифи ЦО" sheetId="126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l" localSheetId="1" hidden="1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1" hidden="1">[1]ESTIMATE!#REF!</definedName>
    <definedName name="_Key1" localSheetId="0" hidden="1">[1]ESTIMATE!#REF!</definedName>
    <definedName name="_Key1" localSheetId="2" hidden="1">[1]ESTIMATE!#REF!</definedName>
    <definedName name="_Key1" localSheetId="3" hidden="1">[1]ESTIMATE!#REF!</definedName>
    <definedName name="_Key1" hidden="1">[1]ESTIMATE!#REF!</definedName>
    <definedName name="_Key2" localSheetId="1" hidden="1">[1]ESTIMATE!#REF!</definedName>
    <definedName name="_Key2" localSheetId="0" hidden="1">[1]ESTIMATE!#REF!</definedName>
    <definedName name="_Key2" localSheetId="2" hidden="1">[1]ESTIMATE!#REF!</definedName>
    <definedName name="_Key2" localSheetId="3" hidden="1">[1]ESTIMATE!#REF!</definedName>
    <definedName name="_Key2" hidden="1">[1]ESTIMATE!#REF!</definedName>
    <definedName name="_Order1" hidden="1">255</definedName>
    <definedName name="_Order2" hidden="1">255</definedName>
    <definedName name="_Regression_Int" hidden="1">1</definedName>
    <definedName name="ClientName">[2]GeneralData!$C$7</definedName>
    <definedName name="ContNom">[2]GeneralData!$C$21</definedName>
    <definedName name="Date">[2]GeneralData!$C$12</definedName>
    <definedName name="DocNo">[2]GeneralData!$C$9</definedName>
    <definedName name="DocRevNo">[2]GeneralData!$C$10</definedName>
    <definedName name="DocStatus">[2]GeneralData!$C$11</definedName>
    <definedName name="EstimateNAme">[2]GeneralData!$C$2</definedName>
    <definedName name="lang" localSheetId="1">[3]Electr_price!$K$4:$K$6</definedName>
    <definedName name="lang">[3]Electr_price!$K$4:$K$6</definedName>
    <definedName name="NOCONT_L" localSheetId="1">#REF!</definedName>
    <definedName name="NOCONT_L" localSheetId="0">#REF!</definedName>
    <definedName name="NOCONT_L" localSheetId="2">#REF!</definedName>
    <definedName name="NOCONT_L" localSheetId="3">#REF!</definedName>
    <definedName name="NOCONT_L">#REF!</definedName>
    <definedName name="NOCONT_M" localSheetId="1">#REF!</definedName>
    <definedName name="NOCONT_M" localSheetId="0">#REF!</definedName>
    <definedName name="NOCONT_M" localSheetId="2">#REF!</definedName>
    <definedName name="NOCONT_M" localSheetId="3">#REF!</definedName>
    <definedName name="NOCONT_M">#REF!</definedName>
    <definedName name="NOCONT_SC" localSheetId="1">#REF!</definedName>
    <definedName name="NOCONT_SC" localSheetId="0">#REF!</definedName>
    <definedName name="NOCONT_SC" localSheetId="2">#REF!</definedName>
    <definedName name="NOCONT_SC" localSheetId="3">#REF!</definedName>
    <definedName name="NOCONT_SC">#REF!</definedName>
    <definedName name="OLE_LINK1" localSheetId="2">Списки!#REF!</definedName>
    <definedName name="Originator">[2]GeneralData!$C$13</definedName>
    <definedName name="ProjectLocation">[2]GeneralData!$C$6</definedName>
    <definedName name="ProjectName">[2]GeneralData!$C$3</definedName>
    <definedName name="ProjectNo">[2]GeneralData!$C$8</definedName>
    <definedName name="ProjectSubtitle">[2]GeneralData!$C$4</definedName>
    <definedName name="RoundIncrease">[2]GeneralData!$C$22</definedName>
    <definedName name="solver_adj" localSheetId="0" hidden="1">Розрахунок!$E$42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Розрахунок!$E$42</definedName>
    <definedName name="solver_lhs2" localSheetId="0" hidden="1">Розрахунок!$E$42</definedName>
    <definedName name="solver_lhs3" localSheetId="0" hidden="1">Розрахунок!$E$44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Розрахунок!$E$74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3</definedName>
    <definedName name="solver_rhs1" localSheetId="0" hidden="1">5</definedName>
    <definedName name="solver_rhs2" localSheetId="0" hidden="1">0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SUBTOTAL_L_H" localSheetId="1">#REF!</definedName>
    <definedName name="SUBTOTAL_L_H" localSheetId="0">#REF!</definedName>
    <definedName name="SUBTOTAL_L_H" localSheetId="2">#REF!</definedName>
    <definedName name="SUBTOTAL_L_H" localSheetId="3">#REF!</definedName>
    <definedName name="SUBTOTAL_L_H">#REF!</definedName>
    <definedName name="SUBTOTAL_L_I" localSheetId="1">#REF!</definedName>
    <definedName name="SUBTOTAL_L_I" localSheetId="0">#REF!</definedName>
    <definedName name="SUBTOTAL_L_I" localSheetId="2">#REF!</definedName>
    <definedName name="SUBTOTAL_L_I" localSheetId="3">#REF!</definedName>
    <definedName name="SUBTOTAL_L_I">#REF!</definedName>
    <definedName name="SUBTOTAL_M_H" localSheetId="1">#REF!</definedName>
    <definedName name="SUBTOTAL_M_H" localSheetId="0">#REF!</definedName>
    <definedName name="SUBTOTAL_M_H" localSheetId="2">#REF!</definedName>
    <definedName name="SUBTOTAL_M_H" localSheetId="3">#REF!</definedName>
    <definedName name="SUBTOTAL_M_H">#REF!</definedName>
    <definedName name="SUBTOTAL_M_I" localSheetId="1">#REF!</definedName>
    <definedName name="SUBTOTAL_M_I" localSheetId="0">#REF!</definedName>
    <definedName name="SUBTOTAL_M_I" localSheetId="2">#REF!</definedName>
    <definedName name="SUBTOTAL_M_I" localSheetId="3">#REF!</definedName>
    <definedName name="SUBTOTAL_M_I">#REF!</definedName>
    <definedName name="SUBTOTAL_SC_H" localSheetId="1">#REF!</definedName>
    <definedName name="SUBTOTAL_SC_H" localSheetId="0">#REF!</definedName>
    <definedName name="SUBTOTAL_SC_H" localSheetId="2">#REF!</definedName>
    <definedName name="SUBTOTAL_SC_H" localSheetId="3">#REF!</definedName>
    <definedName name="SUBTOTAL_SC_H">#REF!</definedName>
    <definedName name="SUBTOTAL_SC_I" localSheetId="1">#REF!</definedName>
    <definedName name="SUBTOTAL_SC_I" localSheetId="0">#REF!</definedName>
    <definedName name="SUBTOTAL_SC_I" localSheetId="2">#REF!</definedName>
    <definedName name="SUBTOTAL_SC_I" localSheetId="3">#REF!</definedName>
    <definedName name="SUBTOTAL_SC_I">#REF!</definedName>
    <definedName name="АвтоподборВС" localSheetId="1">#REF!</definedName>
    <definedName name="АвтоподборВС" localSheetId="0">#REF!</definedName>
    <definedName name="АвтоподборВС" localSheetId="2">#REF!</definedName>
    <definedName name="АвтоподборВС" localSheetId="3">#REF!</definedName>
    <definedName name="АвтоподборВС">#REF!</definedName>
    <definedName name="Встав">[4]Коригування!$W$9:$W$2131,[4]Коригування!$AF$9:$AH$2131,[4]Коригування!$AM$9:$AM$2131,[4]Коригування!$AO$9:$AO$2131,[4]Коригування!$AQ$9:$AQ$2131,[4]Коригування!$AU$9:$AU$2131,[4]Коригування!$AW$9:$AW$2131+[4]Коригування!$AY$9:$BD$2131,[4]Коригування!$BG$9:$BP$2131,[4]Коригування!$BY$9:$BY$2131,[4]Коригування!$CF$9:$CG$2131,[4]Коригування!$CJ$9:$CO$2131,[4]Коригування!$CX$9:$CY$2131,[4]Коригування!$DB$9:$DC$2131,[4]Коригування!$DJ$9:$DJ$2131,[4]Коригування!$DL$9:$DM$2131,[4]Коригування!$DO$9:$DO$2131,[4]Коригування!$DT$9:$DT$2131</definedName>
    <definedName name="и210" localSheetId="1">[5]bidding_3!#REF!</definedName>
    <definedName name="и210" localSheetId="0">[5]bidding_3!#REF!</definedName>
    <definedName name="и210" localSheetId="2">[5]bidding_3!#REF!</definedName>
    <definedName name="и210" localSheetId="3">[5]bidding_3!#REF!</definedName>
    <definedName name="и210">[5]bidding_3!#REF!</definedName>
    <definedName name="іувп" localSheetId="1">#REF!</definedName>
    <definedName name="іувп" localSheetId="0">#REF!</definedName>
    <definedName name="іувп" localSheetId="2">#REF!</definedName>
    <definedName name="іувп" localSheetId="3">#REF!</definedName>
    <definedName name="іувп">#REF!</definedName>
    <definedName name="ккк" localSheetId="1">#REF!</definedName>
    <definedName name="ккк" localSheetId="0">#REF!</definedName>
    <definedName name="ккк" localSheetId="2">#REF!</definedName>
    <definedName name="ккк" localSheetId="3">#REF!</definedName>
    <definedName name="ккк">#REF!</definedName>
    <definedName name="Отсорт_Д_СВ" localSheetId="1">#REF!</definedName>
    <definedName name="Отсорт_Д_СВ" localSheetId="0">#REF!</definedName>
    <definedName name="Отсорт_Д_СВ" localSheetId="2">#REF!</definedName>
    <definedName name="Отсорт_Д_СВ" localSheetId="3">#REF!</definedName>
    <definedName name="Отсорт_Д_СВ">#REF!</definedName>
    <definedName name="Палива" localSheetId="1">'[6]ІНФ. КОТЛИ'!$AF$8:$AF$14</definedName>
    <definedName name="Палива">'[6]ІНФ. КОТЛИ'!$AF$8:$AF$14</definedName>
    <definedName name="ппп" localSheetId="1">#REF!</definedName>
    <definedName name="ппп" localSheetId="0">#REF!</definedName>
    <definedName name="ппп" localSheetId="2">#REF!</definedName>
    <definedName name="ппп" localSheetId="3">#REF!</definedName>
    <definedName name="ппп">#REF!</definedName>
    <definedName name="РЕГ" localSheetId="1">#REF!</definedName>
    <definedName name="РЕГ" localSheetId="0">#REF!</definedName>
    <definedName name="РЕГ" localSheetId="2">#REF!</definedName>
    <definedName name="РЕГ" localSheetId="3">#REF!</definedName>
    <definedName name="РЕГ">#REF!</definedName>
    <definedName name="Регіон" localSheetId="1">#REF!</definedName>
    <definedName name="Регіон" localSheetId="0">#REF!</definedName>
    <definedName name="Регіон" localSheetId="2">#REF!</definedName>
    <definedName name="Регіон" localSheetId="3">#REF!</definedName>
    <definedName name="Регіон">#REF!</definedName>
    <definedName name="рел" localSheetId="1">#REF!</definedName>
    <definedName name="рел" localSheetId="0">#REF!</definedName>
    <definedName name="рел" localSheetId="2">#REF!</definedName>
    <definedName name="рел" localSheetId="3">#REF!</definedName>
    <definedName name="рел">#REF!</definedName>
    <definedName name="рр" localSheetId="1">#REF!</definedName>
    <definedName name="рр" localSheetId="0">#REF!</definedName>
    <definedName name="рр" localSheetId="2">#REF!</definedName>
    <definedName name="рр" localSheetId="3">#REF!</definedName>
    <definedName name="рр">#REF!</definedName>
    <definedName name="Срез_1">#N/A</definedName>
    <definedName name="Срез_11">#N/A</definedName>
    <definedName name="Срез_120">#N/A</definedName>
    <definedName name="Срез_133">#N/A</definedName>
    <definedName name="Срез_145">#N/A</definedName>
    <definedName name="Срез_151">#N/A</definedName>
    <definedName name="Срез_2">#N/A</definedName>
    <definedName name="Срез_23">#N/A</definedName>
    <definedName name="Срез_246">#N/A</definedName>
    <definedName name="Срез_5">#N/A</definedName>
    <definedName name="Срез_7">#N/A</definedName>
    <definedName name="УХ" localSheetId="1">#REF!</definedName>
    <definedName name="УХ" localSheetId="0">#REF!</definedName>
    <definedName name="УХ" localSheetId="2">#REF!</definedName>
    <definedName name="УХ" localSheetId="3">#REF!</definedName>
    <definedName name="УХ">#REF!</definedName>
    <definedName name="ухват" localSheetId="1">#REF!</definedName>
    <definedName name="ухват" localSheetId="0">#REF!</definedName>
    <definedName name="ухват" localSheetId="2">#REF!</definedName>
    <definedName name="ухват" localSheetId="3">#REF!</definedName>
    <definedName name="ухват">#REF!</definedName>
    <definedName name="чапельник" localSheetId="1">#REF!</definedName>
    <definedName name="чапельник" localSheetId="0">#REF!</definedName>
    <definedName name="чапельник" localSheetId="2">#REF!</definedName>
    <definedName name="чапельник" localSheetId="3">#REF!</definedName>
    <definedName name="чапельник">#REF!</definedName>
  </definedNames>
  <calcPr calcId="152511" iterate="1"/>
</workbook>
</file>

<file path=xl/calcChain.xml><?xml version="1.0" encoding="utf-8"?>
<calcChain xmlns="http://schemas.openxmlformats.org/spreadsheetml/2006/main">
  <c r="F45" i="123" l="1"/>
  <c r="F47" i="123"/>
  <c r="D10" i="125"/>
  <c r="E10" i="125" s="1"/>
  <c r="F10" i="125" s="1"/>
  <c r="G10" i="125" s="1"/>
  <c r="H10" i="125" s="1"/>
  <c r="I10" i="125" s="1"/>
  <c r="J10" i="125" s="1"/>
  <c r="K10" i="125" s="1"/>
  <c r="L10" i="125" s="1"/>
  <c r="M10" i="125" s="1"/>
  <c r="N10" i="125" s="1"/>
  <c r="O10" i="125" s="1"/>
  <c r="P10" i="125" s="1"/>
  <c r="Q10" i="125" s="1"/>
  <c r="R10" i="125" s="1"/>
  <c r="S10" i="125" s="1"/>
  <c r="T10" i="125" s="1"/>
  <c r="U10" i="125" s="1"/>
  <c r="V10" i="125" s="1"/>
  <c r="W10" i="125" s="1"/>
  <c r="X10" i="125" s="1"/>
  <c r="Y10" i="125" s="1"/>
  <c r="Z10" i="125" s="1"/>
  <c r="AA10" i="125" s="1"/>
  <c r="AB10" i="125" s="1"/>
  <c r="AC10" i="125" s="1"/>
  <c r="AD10" i="125" s="1"/>
  <c r="AE10" i="125" s="1"/>
  <c r="AF10" i="125" s="1"/>
  <c r="AG10" i="125" s="1"/>
  <c r="L40" i="126"/>
  <c r="L38" i="126"/>
  <c r="K40" i="126"/>
  <c r="K38" i="126"/>
  <c r="B1" i="124"/>
  <c r="AC60" i="124" l="1"/>
  <c r="AD60" i="124"/>
  <c r="AC73" i="124"/>
  <c r="AD73" i="124"/>
  <c r="AD28" i="124"/>
  <c r="AD26" i="124"/>
  <c r="AC26" i="124"/>
  <c r="AC28" i="124" s="1"/>
  <c r="AB26" i="124"/>
  <c r="AB28" i="124" s="1"/>
  <c r="Y60" i="124"/>
  <c r="Z60" i="124"/>
  <c r="AA60" i="124"/>
  <c r="AB60" i="124"/>
  <c r="X60" i="124"/>
  <c r="AB73" i="124" l="1"/>
  <c r="V62" i="124" l="1"/>
  <c r="B11" i="124" l="1"/>
  <c r="AA26" i="124"/>
  <c r="AA28" i="124" s="1"/>
  <c r="Z26" i="124"/>
  <c r="Z28" i="124" s="1"/>
  <c r="Y26" i="124"/>
  <c r="Y28" i="124" s="1"/>
  <c r="X26" i="124"/>
  <c r="X28" i="124" s="1"/>
  <c r="E17" i="124"/>
  <c r="C23" i="124"/>
  <c r="T29" i="124"/>
  <c r="B6" i="124"/>
  <c r="AE77" i="124" s="1"/>
  <c r="F81" i="123" s="1"/>
  <c r="E81" i="123" s="1"/>
  <c r="AD45" i="124" l="1"/>
  <c r="AC46" i="124"/>
  <c r="AC45" i="124"/>
  <c r="AD46" i="124"/>
  <c r="AD50" i="124"/>
  <c r="AC51" i="124"/>
  <c r="AC50" i="124"/>
  <c r="AD51" i="124"/>
  <c r="AB46" i="124"/>
  <c r="AA45" i="124"/>
  <c r="Y45" i="124"/>
  <c r="Z45" i="124"/>
  <c r="Y46" i="124"/>
  <c r="X46" i="124"/>
  <c r="AB45" i="124"/>
  <c r="Z46" i="124"/>
  <c r="X45" i="124"/>
  <c r="AA46" i="124"/>
  <c r="T26" i="124"/>
  <c r="AA51" i="124"/>
  <c r="AA50" i="124"/>
  <c r="Z51" i="124"/>
  <c r="Z50" i="124"/>
  <c r="X51" i="124"/>
  <c r="AB51" i="124"/>
  <c r="AB50" i="124"/>
  <c r="Y51" i="124"/>
  <c r="Y50" i="124"/>
  <c r="X50" i="124"/>
  <c r="F25" i="123"/>
  <c r="E25" i="123" s="1"/>
  <c r="U27" i="124"/>
  <c r="AD34" i="124" l="1"/>
  <c r="AD47" i="124"/>
  <c r="AC43" i="124"/>
  <c r="AC49" i="124"/>
  <c r="AC34" i="124"/>
  <c r="AC47" i="124"/>
  <c r="AD43" i="124"/>
  <c r="AD49" i="124"/>
  <c r="AE51" i="124"/>
  <c r="Z49" i="124"/>
  <c r="Y47" i="124"/>
  <c r="X47" i="124"/>
  <c r="Y43" i="124"/>
  <c r="X43" i="124"/>
  <c r="AB34" i="124"/>
  <c r="AA43" i="124"/>
  <c r="X49" i="124"/>
  <c r="AB43" i="124"/>
  <c r="Z34" i="124"/>
  <c r="AA49" i="124"/>
  <c r="Z47" i="124"/>
  <c r="Z43" i="124"/>
  <c r="X34" i="124"/>
  <c r="AB49" i="124"/>
  <c r="AA47" i="124"/>
  <c r="Y34" i="124"/>
  <c r="Y49" i="124"/>
  <c r="AB47" i="124"/>
  <c r="E29" i="123"/>
  <c r="D29" i="123"/>
  <c r="D22" i="123"/>
  <c r="W7" i="124"/>
  <c r="W8" i="124" s="1"/>
  <c r="AB6" i="124"/>
  <c r="AA5" i="124"/>
  <c r="Z4" i="124"/>
  <c r="E20" i="123"/>
  <c r="E19" i="123"/>
  <c r="D20" i="123"/>
  <c r="D19" i="123"/>
  <c r="AB5" i="124" l="1"/>
  <c r="AA4" i="124"/>
  <c r="AB4" i="124" l="1"/>
  <c r="E14" i="123"/>
  <c r="E13" i="123"/>
  <c r="E12" i="123"/>
  <c r="N15" i="124"/>
  <c r="N14" i="124" s="1"/>
  <c r="N13" i="124" s="1"/>
  <c r="N12" i="124" s="1"/>
  <c r="N11" i="124" s="1"/>
  <c r="N10" i="124" s="1"/>
  <c r="N9" i="124" s="1"/>
  <c r="N8" i="124" s="1"/>
  <c r="N7" i="124" s="1"/>
  <c r="N6" i="124" s="1"/>
  <c r="N5" i="124" s="1"/>
  <c r="N4" i="124" s="1"/>
  <c r="N3" i="124" s="1"/>
  <c r="N2" i="124" s="1"/>
  <c r="D53" i="123" l="1"/>
  <c r="D54" i="123" s="1"/>
  <c r="D55" i="123" s="1"/>
  <c r="D72" i="123" s="1"/>
  <c r="K3" i="124"/>
  <c r="D62" i="123" l="1"/>
  <c r="D63" i="123"/>
  <c r="D56" i="123"/>
  <c r="D57" i="123" s="1"/>
  <c r="D67" i="123" s="1"/>
  <c r="D58" i="123"/>
  <c r="D68" i="123" s="1"/>
  <c r="D66" i="123" l="1"/>
  <c r="E3" i="125"/>
  <c r="F3" i="125" s="1"/>
  <c r="G3" i="125" s="1"/>
  <c r="H3" i="125" s="1"/>
  <c r="I3" i="125" s="1"/>
  <c r="J3" i="125" s="1"/>
  <c r="K3" i="125" s="1"/>
  <c r="L3" i="125" s="1"/>
  <c r="M3" i="125" s="1"/>
  <c r="N3" i="125" s="1"/>
  <c r="O3" i="125" s="1"/>
  <c r="P3" i="125" s="1"/>
  <c r="Q3" i="125" s="1"/>
  <c r="R3" i="125" s="1"/>
  <c r="S3" i="125" s="1"/>
  <c r="T3" i="125" s="1"/>
  <c r="U3" i="125" s="1"/>
  <c r="V3" i="125" s="1"/>
  <c r="W3" i="125" s="1"/>
  <c r="X3" i="125" s="1"/>
  <c r="Y3" i="125" s="1"/>
  <c r="Z3" i="125" s="1"/>
  <c r="AA3" i="125" s="1"/>
  <c r="AB3" i="125" s="1"/>
  <c r="AC3" i="125" s="1"/>
  <c r="AD3" i="125" s="1"/>
  <c r="AE3" i="125" s="1"/>
  <c r="AF3" i="125" s="1"/>
  <c r="AG3" i="125" s="1"/>
  <c r="D3" i="125"/>
  <c r="E34" i="123"/>
  <c r="D35" i="123"/>
  <c r="E35" i="123" l="1"/>
  <c r="E53" i="123"/>
  <c r="E54" i="123" l="1"/>
  <c r="E55" i="123" s="1"/>
  <c r="E56" i="123" l="1"/>
  <c r="T70" i="124" s="1"/>
  <c r="E58" i="123"/>
  <c r="E68" i="123" s="1"/>
  <c r="E72" i="123"/>
  <c r="E57" i="123" l="1"/>
  <c r="E67" i="123" s="1"/>
  <c r="AE45" i="124" l="1"/>
  <c r="AE33" i="124" l="1"/>
  <c r="Z73" i="124" l="1"/>
  <c r="AA73" i="124"/>
  <c r="C4" i="125"/>
  <c r="D5" i="125"/>
  <c r="E5" i="125"/>
  <c r="F5" i="125"/>
  <c r="G5" i="125"/>
  <c r="H5" i="125"/>
  <c r="I5" i="125"/>
  <c r="J5" i="125"/>
  <c r="K5" i="125"/>
  <c r="L5" i="125"/>
  <c r="M5" i="125"/>
  <c r="N5" i="125"/>
  <c r="O5" i="125"/>
  <c r="P5" i="125"/>
  <c r="Q5" i="125"/>
  <c r="R5" i="125"/>
  <c r="S5" i="125"/>
  <c r="T5" i="125"/>
  <c r="U5" i="125"/>
  <c r="V5" i="125"/>
  <c r="W5" i="125"/>
  <c r="X5" i="125"/>
  <c r="Y5" i="125"/>
  <c r="Z5" i="125"/>
  <c r="AA5" i="125"/>
  <c r="AB5" i="125"/>
  <c r="AC5" i="125"/>
  <c r="AD5" i="125"/>
  <c r="AE5" i="125"/>
  <c r="AF5" i="125"/>
  <c r="AG5" i="125"/>
  <c r="C6" i="125"/>
  <c r="D6" i="125"/>
  <c r="E6" i="125"/>
  <c r="F6" i="125"/>
  <c r="G6" i="125"/>
  <c r="H6" i="125"/>
  <c r="I6" i="125"/>
  <c r="J6" i="125"/>
  <c r="K6" i="125"/>
  <c r="L6" i="125"/>
  <c r="M6" i="125"/>
  <c r="N6" i="125"/>
  <c r="O6" i="125"/>
  <c r="P6" i="125"/>
  <c r="Q6" i="125"/>
  <c r="R6" i="125"/>
  <c r="S6" i="125"/>
  <c r="T6" i="125"/>
  <c r="U6" i="125"/>
  <c r="V6" i="125"/>
  <c r="W6" i="125"/>
  <c r="X6" i="125"/>
  <c r="Y6" i="125"/>
  <c r="Z6" i="125"/>
  <c r="AA6" i="125"/>
  <c r="AB6" i="125"/>
  <c r="AC6" i="125"/>
  <c r="AD6" i="125"/>
  <c r="AE6" i="125"/>
  <c r="AF6" i="125"/>
  <c r="AG6" i="125"/>
  <c r="C7" i="125"/>
  <c r="D7" i="125"/>
  <c r="E7" i="125"/>
  <c r="F7" i="125"/>
  <c r="G7" i="125"/>
  <c r="H7" i="125"/>
  <c r="I7" i="125"/>
  <c r="J7" i="125"/>
  <c r="K7" i="125"/>
  <c r="L7" i="125"/>
  <c r="M7" i="125"/>
  <c r="N7" i="125"/>
  <c r="O7" i="125"/>
  <c r="P7" i="125"/>
  <c r="Q7" i="125"/>
  <c r="R7" i="125"/>
  <c r="S7" i="125"/>
  <c r="T7" i="125"/>
  <c r="U7" i="125"/>
  <c r="V7" i="125"/>
  <c r="W7" i="125"/>
  <c r="X7" i="125"/>
  <c r="Y7" i="125"/>
  <c r="Z7" i="125"/>
  <c r="AA7" i="125"/>
  <c r="AB7" i="125"/>
  <c r="AC7" i="125"/>
  <c r="AD7" i="125"/>
  <c r="AE7" i="125"/>
  <c r="AF7" i="125"/>
  <c r="AG7" i="125"/>
  <c r="D8" i="125"/>
  <c r="E8" i="125"/>
  <c r="F8" i="125"/>
  <c r="G8" i="125"/>
  <c r="H8" i="125"/>
  <c r="I8" i="125"/>
  <c r="J8" i="125"/>
  <c r="K8" i="125"/>
  <c r="L8" i="125"/>
  <c r="M8" i="125"/>
  <c r="N8" i="125"/>
  <c r="O8" i="125"/>
  <c r="P8" i="125"/>
  <c r="Q8" i="125"/>
  <c r="R8" i="125"/>
  <c r="S8" i="125"/>
  <c r="T8" i="125"/>
  <c r="U8" i="125"/>
  <c r="V8" i="125"/>
  <c r="W8" i="125"/>
  <c r="X8" i="125"/>
  <c r="Y8" i="125"/>
  <c r="Z8" i="125"/>
  <c r="AA8" i="125"/>
  <c r="AB8" i="125"/>
  <c r="AC8" i="125"/>
  <c r="AD8" i="125"/>
  <c r="AE8" i="125"/>
  <c r="AF8" i="125"/>
  <c r="AG8" i="125"/>
  <c r="D9" i="125"/>
  <c r="E9" i="125"/>
  <c r="F9" i="125"/>
  <c r="G9" i="125"/>
  <c r="H9" i="125"/>
  <c r="I9" i="125"/>
  <c r="J9" i="125"/>
  <c r="K9" i="125"/>
  <c r="L9" i="125"/>
  <c r="M9" i="125"/>
  <c r="N9" i="125"/>
  <c r="O9" i="125"/>
  <c r="P9" i="125"/>
  <c r="Q9" i="125"/>
  <c r="R9" i="125"/>
  <c r="S9" i="125"/>
  <c r="T9" i="125"/>
  <c r="U9" i="125"/>
  <c r="V9" i="125"/>
  <c r="W9" i="125"/>
  <c r="X9" i="125"/>
  <c r="Y9" i="125"/>
  <c r="Z9" i="125"/>
  <c r="AA9" i="125"/>
  <c r="AB9" i="125"/>
  <c r="AC9" i="125"/>
  <c r="AD9" i="125"/>
  <c r="AE9" i="125"/>
  <c r="AF9" i="125"/>
  <c r="AG9" i="125"/>
  <c r="D11" i="125"/>
  <c r="E11" i="125"/>
  <c r="F11" i="125"/>
  <c r="G11" i="125"/>
  <c r="H11" i="125"/>
  <c r="I11" i="125"/>
  <c r="J11" i="125"/>
  <c r="K11" i="125"/>
  <c r="L11" i="125"/>
  <c r="M11" i="125"/>
  <c r="N11" i="125"/>
  <c r="O11" i="125"/>
  <c r="P11" i="125"/>
  <c r="Q11" i="125"/>
  <c r="R11" i="125"/>
  <c r="S11" i="125"/>
  <c r="T11" i="125"/>
  <c r="U11" i="125"/>
  <c r="V11" i="125"/>
  <c r="W11" i="125"/>
  <c r="X11" i="125"/>
  <c r="Y11" i="125"/>
  <c r="Z11" i="125"/>
  <c r="AA11" i="125"/>
  <c r="AB11" i="125"/>
  <c r="AC11" i="125"/>
  <c r="AD11" i="125"/>
  <c r="AE11" i="125"/>
  <c r="AF11" i="125"/>
  <c r="AG11" i="125"/>
  <c r="C12" i="125"/>
  <c r="D12" i="125"/>
  <c r="E12" i="125"/>
  <c r="F12" i="125"/>
  <c r="G12" i="125"/>
  <c r="H12" i="125"/>
  <c r="I12" i="125"/>
  <c r="J12" i="125"/>
  <c r="K12" i="125"/>
  <c r="L12" i="125"/>
  <c r="M12" i="125"/>
  <c r="N12" i="125"/>
  <c r="O12" i="125"/>
  <c r="P12" i="125"/>
  <c r="Q12" i="125"/>
  <c r="R12" i="125"/>
  <c r="S12" i="125"/>
  <c r="T12" i="125"/>
  <c r="U12" i="125"/>
  <c r="V12" i="125"/>
  <c r="W12" i="125"/>
  <c r="X12" i="125"/>
  <c r="Y12" i="125"/>
  <c r="Z12" i="125"/>
  <c r="AA12" i="125"/>
  <c r="AB12" i="125"/>
  <c r="AC12" i="125"/>
  <c r="AD12" i="125"/>
  <c r="AE12" i="125"/>
  <c r="AF12" i="125"/>
  <c r="AG12" i="125"/>
  <c r="D13" i="125"/>
  <c r="E13" i="125"/>
  <c r="F13" i="125"/>
  <c r="G13" i="125"/>
  <c r="H13" i="125"/>
  <c r="I13" i="125"/>
  <c r="J13" i="125"/>
  <c r="K13" i="125"/>
  <c r="L13" i="125"/>
  <c r="M13" i="125"/>
  <c r="N13" i="125"/>
  <c r="O13" i="125"/>
  <c r="P13" i="125"/>
  <c r="Q13" i="125"/>
  <c r="R13" i="125"/>
  <c r="S13" i="125"/>
  <c r="T13" i="125"/>
  <c r="U13" i="125"/>
  <c r="V13" i="125"/>
  <c r="W13" i="125"/>
  <c r="X13" i="125"/>
  <c r="Y13" i="125"/>
  <c r="Z13" i="125"/>
  <c r="AA13" i="125"/>
  <c r="AB13" i="125"/>
  <c r="AC13" i="125"/>
  <c r="AD13" i="125"/>
  <c r="AE13" i="125"/>
  <c r="AF13" i="125"/>
  <c r="AG13" i="125"/>
  <c r="D14" i="125"/>
  <c r="E14" i="125"/>
  <c r="F14" i="125"/>
  <c r="G14" i="125"/>
  <c r="H14" i="125"/>
  <c r="I14" i="125"/>
  <c r="J14" i="125"/>
  <c r="K14" i="125"/>
  <c r="L14" i="125"/>
  <c r="M14" i="125"/>
  <c r="N14" i="125"/>
  <c r="O14" i="125"/>
  <c r="P14" i="125"/>
  <c r="Q14" i="125"/>
  <c r="R14" i="125"/>
  <c r="S14" i="125"/>
  <c r="T14" i="125"/>
  <c r="U14" i="125"/>
  <c r="V14" i="125"/>
  <c r="W14" i="125"/>
  <c r="X14" i="125"/>
  <c r="Y14" i="125"/>
  <c r="Z14" i="125"/>
  <c r="AA14" i="125"/>
  <c r="AB14" i="125"/>
  <c r="AC14" i="125"/>
  <c r="AD14" i="125"/>
  <c r="AE14" i="125"/>
  <c r="AF14" i="125"/>
  <c r="AG14" i="125"/>
  <c r="C16" i="125"/>
  <c r="C17" i="125"/>
  <c r="C18" i="125"/>
  <c r="C19" i="125"/>
  <c r="E21" i="123"/>
  <c r="E22" i="123"/>
  <c r="F26" i="123"/>
  <c r="F42" i="123"/>
  <c r="E43" i="123"/>
  <c r="E44" i="123"/>
  <c r="F44" i="123"/>
  <c r="E45" i="123"/>
  <c r="D59" i="123"/>
  <c r="E59" i="123"/>
  <c r="D60" i="123"/>
  <c r="E60" i="123"/>
  <c r="D61" i="123"/>
  <c r="E61" i="123"/>
  <c r="E62" i="123"/>
  <c r="E63" i="123"/>
  <c r="E66" i="123"/>
  <c r="G66" i="123"/>
  <c r="G67" i="123"/>
  <c r="G68" i="123"/>
  <c r="D69" i="123"/>
  <c r="E69" i="123"/>
  <c r="G69" i="123"/>
  <c r="D70" i="123"/>
  <c r="E70" i="123"/>
  <c r="G70" i="123"/>
  <c r="D71" i="123"/>
  <c r="E71" i="123"/>
  <c r="G71" i="123"/>
  <c r="G72" i="123"/>
  <c r="D73" i="123"/>
  <c r="E73" i="123"/>
  <c r="E74" i="123"/>
  <c r="E76" i="123"/>
  <c r="F76" i="123"/>
  <c r="G76" i="123"/>
  <c r="E77" i="123"/>
  <c r="F77" i="123"/>
  <c r="G77" i="123"/>
  <c r="E78" i="123"/>
  <c r="F78" i="123"/>
  <c r="G78" i="123"/>
  <c r="E79" i="123"/>
  <c r="F79" i="123"/>
  <c r="G79" i="123"/>
  <c r="E80" i="123"/>
  <c r="F80" i="123"/>
  <c r="G80" i="123"/>
  <c r="G81" i="123"/>
  <c r="E82" i="123"/>
  <c r="F82" i="123"/>
  <c r="G82" i="123"/>
  <c r="E83" i="123"/>
  <c r="F83" i="123"/>
  <c r="G83" i="123"/>
  <c r="E84" i="123"/>
  <c r="E85" i="123"/>
  <c r="E86" i="123"/>
  <c r="E87" i="123"/>
  <c r="E90" i="123"/>
  <c r="E91" i="123"/>
  <c r="E92" i="123"/>
  <c r="E93" i="123"/>
  <c r="E94" i="123"/>
  <c r="E95" i="123"/>
  <c r="E96" i="123"/>
  <c r="T1" i="124"/>
  <c r="T2" i="124"/>
  <c r="I3" i="124"/>
  <c r="J3" i="124"/>
  <c r="L3" i="124"/>
  <c r="M3" i="124"/>
  <c r="T3" i="124"/>
  <c r="T27" i="124"/>
  <c r="U29" i="124"/>
  <c r="T30" i="124"/>
  <c r="U30" i="124"/>
  <c r="X31" i="124"/>
  <c r="Y31" i="124"/>
  <c r="Z31" i="124"/>
  <c r="AA31" i="124"/>
  <c r="AB31" i="124"/>
  <c r="AC31" i="124"/>
  <c r="AD31" i="124"/>
  <c r="AE31" i="124"/>
  <c r="AF31" i="124"/>
  <c r="AG31" i="124"/>
  <c r="X32" i="124"/>
  <c r="Y32" i="124"/>
  <c r="Z32" i="124"/>
  <c r="AA32" i="124"/>
  <c r="AB32" i="124"/>
  <c r="AC32" i="124"/>
  <c r="AD32" i="124"/>
  <c r="AE32" i="124"/>
  <c r="AE34" i="124"/>
  <c r="AE36" i="124"/>
  <c r="X37" i="124"/>
  <c r="Y37" i="124"/>
  <c r="Z37" i="124"/>
  <c r="AA37" i="124"/>
  <c r="AB37" i="124"/>
  <c r="AC37" i="124"/>
  <c r="AD37" i="124"/>
  <c r="AE37" i="124"/>
  <c r="Z38" i="124"/>
  <c r="AA38" i="124"/>
  <c r="AE39" i="124"/>
  <c r="AE42" i="124"/>
  <c r="AE43" i="124"/>
  <c r="AE44" i="124"/>
  <c r="AE46" i="124"/>
  <c r="AE47" i="124"/>
  <c r="AE48" i="124"/>
  <c r="AE49" i="124"/>
  <c r="AE50" i="124"/>
  <c r="X52" i="124"/>
  <c r="Y52" i="124"/>
  <c r="Z52" i="124"/>
  <c r="AA52" i="124"/>
  <c r="AB52" i="124"/>
  <c r="AC52" i="124"/>
  <c r="AD52" i="124"/>
  <c r="AE52" i="124"/>
  <c r="X53" i="124"/>
  <c r="Y53" i="124"/>
  <c r="Z53" i="124"/>
  <c r="AA53" i="124"/>
  <c r="AB53" i="124"/>
  <c r="AC53" i="124"/>
  <c r="AD53" i="124"/>
  <c r="AE53" i="124"/>
  <c r="X54" i="124"/>
  <c r="Y54" i="124"/>
  <c r="Z54" i="124"/>
  <c r="AA54" i="124"/>
  <c r="AB54" i="124"/>
  <c r="AC54" i="124"/>
  <c r="AD54" i="124"/>
  <c r="AE54" i="124"/>
  <c r="X55" i="124"/>
  <c r="Y55" i="124"/>
  <c r="Z55" i="124"/>
  <c r="AA55" i="124"/>
  <c r="AB55" i="124"/>
  <c r="AC55" i="124"/>
  <c r="AD55" i="124"/>
  <c r="AE55" i="124"/>
  <c r="X56" i="124"/>
  <c r="Y56" i="124"/>
  <c r="Z56" i="124"/>
  <c r="AA56" i="124"/>
  <c r="AB56" i="124"/>
  <c r="AC56" i="124"/>
  <c r="AD56" i="124"/>
  <c r="AE56" i="124"/>
  <c r="X57" i="124"/>
  <c r="Y57" i="124"/>
  <c r="Z57" i="124"/>
  <c r="AA57" i="124"/>
  <c r="AB57" i="124"/>
  <c r="AC57" i="124"/>
  <c r="AD57" i="124"/>
  <c r="AE57" i="124"/>
  <c r="X58" i="124"/>
  <c r="Y58" i="124"/>
  <c r="Z58" i="124"/>
  <c r="AA58" i="124"/>
  <c r="AB58" i="124"/>
  <c r="AC58" i="124"/>
  <c r="AD58" i="124"/>
  <c r="AE58" i="124"/>
  <c r="X59" i="124"/>
  <c r="Y59" i="124"/>
  <c r="Z59" i="124"/>
  <c r="AA59" i="124"/>
  <c r="AB59" i="124"/>
  <c r="AC59" i="124"/>
  <c r="AD59" i="124"/>
  <c r="AE59" i="124"/>
  <c r="AE60" i="124"/>
  <c r="AE61" i="124"/>
  <c r="X62" i="124"/>
  <c r="Y62" i="124"/>
  <c r="Z62" i="124"/>
  <c r="AA62" i="124"/>
  <c r="AB62" i="124"/>
  <c r="AC62" i="124"/>
  <c r="AD62" i="124"/>
  <c r="AE62" i="124"/>
  <c r="AE64" i="124"/>
  <c r="AA66" i="124"/>
  <c r="AE66" i="124"/>
  <c r="AE67" i="124"/>
  <c r="AE68" i="124"/>
  <c r="X69" i="124"/>
  <c r="Y69" i="124"/>
  <c r="Z69" i="124"/>
  <c r="AA69" i="124"/>
  <c r="AB69" i="124"/>
  <c r="AC69" i="124"/>
  <c r="AD69" i="124"/>
  <c r="AE69" i="124"/>
  <c r="X72" i="124"/>
  <c r="Y72" i="124"/>
  <c r="Z72" i="124"/>
  <c r="AA72" i="124"/>
  <c r="AB72" i="124"/>
  <c r="AC72" i="124"/>
  <c r="AD72" i="124"/>
  <c r="AE72" i="124"/>
  <c r="X73" i="124"/>
  <c r="Y73" i="124"/>
  <c r="AE73" i="124"/>
  <c r="X75" i="124"/>
  <c r="Y75" i="124"/>
  <c r="Z75" i="124"/>
  <c r="AA75" i="124"/>
  <c r="AB75" i="124"/>
  <c r="AC75" i="124"/>
  <c r="AD75" i="124"/>
  <c r="AE75" i="124"/>
  <c r="AE76" i="124"/>
  <c r="AE78" i="124"/>
  <c r="AE79" i="124"/>
  <c r="AE80" i="124"/>
  <c r="AE81" i="124"/>
  <c r="AE82" i="124"/>
</calcChain>
</file>

<file path=xl/comments1.xml><?xml version="1.0" encoding="utf-8"?>
<comments xmlns="http://schemas.openxmlformats.org/spreadsheetml/2006/main">
  <authors>
    <author>Kramar</author>
  </authors>
  <commentList>
    <comment ref="E74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цій формулі 440- середній по Україні тариф на транспортування, а 23 - на постачання теплової енергії, грн/Гкал
</t>
        </r>
      </text>
    </comment>
  </commentList>
</comments>
</file>

<file path=xl/comments2.xml><?xml version="1.0" encoding="utf-8"?>
<comments xmlns="http://schemas.openxmlformats.org/spreadsheetml/2006/main">
  <authors>
    <author>Kramar</author>
    <author>KVG</author>
  </authors>
  <commentList>
    <comment ref="D20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Коеф. Для України за 2012 рік
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  <charset val="204"/>
          </rPr>
          <t>&lt;500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  <charset val="204"/>
          </rPr>
          <t>&gt;500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70" authorId="1" shapeId="0">
      <text>
        <r>
          <rPr>
            <b/>
            <sz val="9"/>
            <color indexed="81"/>
            <rFont val="Tahoma"/>
            <family val="2"/>
            <charset val="204"/>
          </rPr>
          <t>кВт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71" authorId="1" shapeId="0">
      <text>
        <r>
          <rPr>
            <sz val="9"/>
            <color indexed="81"/>
            <rFont val="Tahoma"/>
            <family val="2"/>
            <charset val="204"/>
          </rPr>
          <t xml:space="preserve">Метрів
</t>
        </r>
      </text>
    </comment>
  </commentList>
</comments>
</file>

<file path=xl/sharedStrings.xml><?xml version="1.0" encoding="utf-8"?>
<sst xmlns="http://schemas.openxmlformats.org/spreadsheetml/2006/main" count="297" uniqueCount="261">
  <si>
    <t>МВт</t>
  </si>
  <si>
    <t>Гкал/год</t>
  </si>
  <si>
    <t>Рік від початку проекту</t>
  </si>
  <si>
    <t>Простий строк окупності, років</t>
  </si>
  <si>
    <t>Фактор дисконтування</t>
  </si>
  <si>
    <t>Дисконтований термін окупонсті, років</t>
  </si>
  <si>
    <t>ЕКОНОМІЧНІ ПОКАЗНИКИ</t>
  </si>
  <si>
    <t>Чиста приведена вартість (NPV)</t>
  </si>
  <si>
    <t>Дисконтований строк окупності, років</t>
  </si>
  <si>
    <t>Внутрішня норма рентабельності (IRR)</t>
  </si>
  <si>
    <t>Підказка</t>
  </si>
  <si>
    <t>Ставка дисконтування, %</t>
  </si>
  <si>
    <t>Житомир</t>
  </si>
  <si>
    <t>Полтава</t>
  </si>
  <si>
    <t>Ужгород</t>
  </si>
  <si>
    <t>Херсон</t>
  </si>
  <si>
    <t>Тривалість опалювального сезону, діб</t>
  </si>
  <si>
    <t>Луцьк</t>
  </si>
  <si>
    <t>Дніпро</t>
  </si>
  <si>
    <t>Донецьк</t>
  </si>
  <si>
    <t>Запоріжжя</t>
  </si>
  <si>
    <t>Івано-Франківськ</t>
  </si>
  <si>
    <t>Київ</t>
  </si>
  <si>
    <t>Львів</t>
  </si>
  <si>
    <t>Миколаїв</t>
  </si>
  <si>
    <t>Одеса</t>
  </si>
  <si>
    <t>Рівне</t>
  </si>
  <si>
    <t>Суми</t>
  </si>
  <si>
    <t>Тернопіль</t>
  </si>
  <si>
    <t>Харків</t>
  </si>
  <si>
    <t>Хмельницький</t>
  </si>
  <si>
    <t>Черкаси</t>
  </si>
  <si>
    <t>Чернівці</t>
  </si>
  <si>
    <t>Чернігів</t>
  </si>
  <si>
    <t>Сімферополь</t>
  </si>
  <si>
    <t>Луганськ</t>
  </si>
  <si>
    <t>Прокладення теплотраси</t>
  </si>
  <si>
    <t>Димова труба</t>
  </si>
  <si>
    <t>років</t>
  </si>
  <si>
    <t>ПДВ, тис. грн</t>
  </si>
  <si>
    <t>Дрова</t>
  </si>
  <si>
    <t>Соотв-я отн. продолж-ть</t>
  </si>
  <si>
    <t>Все отн-е кол-во т-ты</t>
  </si>
  <si>
    <t>Доля т-ты, обеспечиваемое данной нагрузкой, от общего кол-ва т-ты, %</t>
  </si>
  <si>
    <t>q=f(t)</t>
  </si>
  <si>
    <t>t=f(q)</t>
  </si>
  <si>
    <t>Курс Грн./Євро Порівняльний, на дату 01.06.2016</t>
  </si>
  <si>
    <t>Коефiцiєнт, що враховує невиходи (щорiчнi вiдпустки, хвороби тощо)</t>
  </si>
  <si>
    <t>Кількість змін, що чергуються протягом м-ця</t>
  </si>
  <si>
    <t>Витрата холодної води, м3/рік</t>
  </si>
  <si>
    <t>Кількість операторів, чол./зміну</t>
  </si>
  <si>
    <t>Кількість операторів, чол/міс.</t>
  </si>
  <si>
    <t>Кількість додаткового обслуговуючого персоналу, чол./міс</t>
  </si>
  <si>
    <t>Питомі витрати на паливо, грн/Гкал</t>
  </si>
  <si>
    <t>Питомі витрати на електроенергію, грн/Гкал</t>
  </si>
  <si>
    <t>Питомі витрати на воду, грн/Гкал</t>
  </si>
  <si>
    <t>Питомі витрати на поточний ремонт та обслуговування, грн/Гкал</t>
  </si>
  <si>
    <t>Питомий ФОП  персоналу з нарахуваннями, грн/Гкал</t>
  </si>
  <si>
    <t>Амортизація, грн/Гкал</t>
  </si>
  <si>
    <t>Інші витрати собівартості (інші прямі витрати, крім амортизації+загальновиробничі+адміністративні), грн/Гкал</t>
  </si>
  <si>
    <t>Вид палива:</t>
  </si>
  <si>
    <t>Вінниця</t>
  </si>
  <si>
    <t>Кропивницький</t>
  </si>
  <si>
    <t>Расч_модель-MIDDLE_LINE</t>
  </si>
  <si>
    <t>Отн. нагрузка</t>
  </si>
  <si>
    <t>отн. кол-во т-ты, обемпеч-е только этой нагр-кой</t>
  </si>
  <si>
    <t>Встановлена потужність котельні на біомасі, МВт</t>
  </si>
  <si>
    <t>Питомі витрати електроенергії, кВт-год/Гкал(виробл)</t>
  </si>
  <si>
    <t>Заземлення, блискавкозахист</t>
  </si>
  <si>
    <t>Пусконалагоджувальні роботи</t>
  </si>
  <si>
    <t>№ пор.</t>
  </si>
  <si>
    <t>Кiлькiсть котлiв, що працюють, од., до</t>
  </si>
  <si>
    <t>Продуктивнiсть котлiв, що працюють, Гкал/год., до</t>
  </si>
  <si>
    <t>Чисельнiсть операторiв на обслуговування котлiв у змiну, чол.</t>
  </si>
  <si>
    <t>Індекс</t>
  </si>
  <si>
    <t>а</t>
  </si>
  <si>
    <t>б</t>
  </si>
  <si>
    <t>в</t>
  </si>
  <si>
    <t>г</t>
  </si>
  <si>
    <t>д</t>
  </si>
  <si>
    <t>е</t>
  </si>
  <si>
    <t>Кількість операторів, чол/міс</t>
  </si>
  <si>
    <t>ф-ла:</t>
  </si>
  <si>
    <t>Опалення</t>
  </si>
  <si>
    <t>Строк життя проекту, років</t>
  </si>
  <si>
    <t>РОЗРАХУНОК</t>
  </si>
  <si>
    <t>Встановлена потужність котельні, кВт</t>
  </si>
  <si>
    <t>Вартість модульної котельні (з котлами)</t>
  </si>
  <si>
    <t>Загальнобудівельні роботи</t>
  </si>
  <si>
    <t>Монтаж котлів чи модульної котельні</t>
  </si>
  <si>
    <t>Обвязка котлів, допоміжне обладнання котельні</t>
  </si>
  <si>
    <t>Газоходи, з монтажем</t>
  </si>
  <si>
    <t>Внутрішні електротехнічні роботи та обладнання</t>
  </si>
  <si>
    <t>Зовнішнє електропостачання</t>
  </si>
  <si>
    <t>КВПіА</t>
  </si>
  <si>
    <t>Сигналізація загазованості, протипожежні заходи</t>
  </si>
  <si>
    <t>Охоронна сигналізація</t>
  </si>
  <si>
    <t>Резервне джерело живлення (генератор)</t>
  </si>
  <si>
    <t>Водопостачання</t>
  </si>
  <si>
    <t>Каналізація</t>
  </si>
  <si>
    <t>Вентиляція</t>
  </si>
  <si>
    <t>Огорожа</t>
  </si>
  <si>
    <t>Благоустрій та озеленення</t>
  </si>
  <si>
    <t>Мультициклони</t>
  </si>
  <si>
    <t>Природний газ</t>
  </si>
  <si>
    <t>Пусконалагодження, здача в експлуатацію, технічний та авторський нагляд</t>
  </si>
  <si>
    <t>Заїзд для вантажних автомобілів</t>
  </si>
  <si>
    <t>Довжина (при ширині 3 метри), м</t>
  </si>
  <si>
    <t>Включити   витрати   з   приєднання (в наступних клітинках вказати потужність, кВт та довжину лінії, м)</t>
  </si>
  <si>
    <t>Газопостачання</t>
  </si>
  <si>
    <t>Довжина прокладення газопроводу, м</t>
  </si>
  <si>
    <t>Пелети з соломи</t>
  </si>
  <si>
    <t>Пелети з лушпиння соняшника</t>
  </si>
  <si>
    <t>Вугілля</t>
  </si>
  <si>
    <t>Що означає колір клітинок та шрифту:</t>
  </si>
  <si>
    <t>-клітинка містить список, що розкривається  (розкрити список та вибрати потрібне значення)</t>
  </si>
  <si>
    <t>-клітинка містить основні початкові дані (міняти обов'язково)</t>
  </si>
  <si>
    <t>-клітинка містить результати розрахунків (НЕ міняти)</t>
  </si>
  <si>
    <t>-клітинка містить другорядні початкові дані (можна міняти, якщо відоме краще значення)</t>
  </si>
  <si>
    <t>стіни</t>
  </si>
  <si>
    <t>-клітинка містить посилання для переходу до уточнення та введення даних на іншому листі</t>
  </si>
  <si>
    <t>-клітинка містить прийняте значення, що не міняється</t>
  </si>
  <si>
    <t>ВВЕДЕННЯ ДАНИХ:</t>
  </si>
  <si>
    <t>Вибрати місто із списку:</t>
  </si>
  <si>
    <t>Середня т-ра зовніш. повітря в опалювальний сезон, °С</t>
  </si>
  <si>
    <t>Тривалість опалення, діб</t>
  </si>
  <si>
    <t>Нижча теплота згоряння палива, МДж/кг (МДж/м3, МДж/кВт*год для електроопалення)</t>
  </si>
  <si>
    <t>Ввести дані щодо власної котельні чи орієнтовні дані для котельні ЦТ</t>
  </si>
  <si>
    <t>Втрати в теплових мережах, % до поданої ТЕ</t>
  </si>
  <si>
    <t>БАЗОВИЙ вар-т</t>
  </si>
  <si>
    <t>ПРОЕКТНИЙ вар-т</t>
  </si>
  <si>
    <t>Необхідна температура повітря в приміщенні, °С</t>
  </si>
  <si>
    <t>ВСЬОГО,тис. грн без ПДВ</t>
  </si>
  <si>
    <t>РЕЗУЛЬТАТ:</t>
  </si>
  <si>
    <t>Внутрішня норма рентабельності (IRR), %</t>
  </si>
  <si>
    <t>Чиста приведена вартість (NPV), тис. грн</t>
  </si>
  <si>
    <t>Скорочення викидів парникових газів, т СО2-екв/рік</t>
  </si>
  <si>
    <t>Питоме скорочення викидів парникових газів за строк життя проекту, кг СО2-екв/1000 грн витрат</t>
  </si>
  <si>
    <t>ВАРІАНТИ   ОПАЛЕННЯ:</t>
  </si>
  <si>
    <t>ВАРІАНТИ   ПАЛИВ:</t>
  </si>
  <si>
    <t>Тепловміст, МДж/кг (МДж/м3, МДж/кВт*год)</t>
  </si>
  <si>
    <t>Питомі викиди ПГ, тСО2екв/МВт*год</t>
  </si>
  <si>
    <t>Електроопалення</t>
  </si>
  <si>
    <t>КАК РАЗРАБОТАТЬ «ПЛАН ДЕЙСТВИЙ ПО УСТОЙЧИВОМУ ЭНЕРГЕТИЧЕСКОМУ РАЗВИТИЮ» (ПДУЭР) В ГОРОДАХ ВОСТОЧНОГО ПАРТНЕРСТВА И ЦЕНТРАЛЬНОЙ АЗИИ -
РУКОВОДСТВО ЧАСТЬ II.</t>
  </si>
  <si>
    <t>Деревна тріска вол.40%</t>
  </si>
  <si>
    <t>Солома зернових вол. 15%</t>
  </si>
  <si>
    <t>Деревні пелети (вологість 10%, зольність 0,5 %)</t>
  </si>
  <si>
    <t>ДСТУ-Н Б В.1.1-27:2010   БУДІВЕЛЬНА КЛІМАТОЛОГІЯ</t>
  </si>
  <si>
    <t>МІСТО</t>
  </si>
  <si>
    <t>Сонячна радіація</t>
  </si>
  <si>
    <r>
      <t xml:space="preserve">Середня температура опалювального сезону, </t>
    </r>
    <r>
      <rPr>
        <sz val="8"/>
        <color theme="1"/>
        <rFont val="Calibri"/>
        <family val="2"/>
        <charset val="204"/>
      </rPr>
      <t>°</t>
    </r>
    <r>
      <rPr>
        <sz val="8"/>
        <color theme="1"/>
        <rFont val="Calibri"/>
        <family val="2"/>
        <charset val="204"/>
        <scheme val="minor"/>
      </rPr>
      <t>С</t>
    </r>
  </si>
  <si>
    <r>
      <t xml:space="preserve">Температура для проектування опалення (найбільш холодної пятиденки),  </t>
    </r>
    <r>
      <rPr>
        <sz val="8"/>
        <color theme="1"/>
        <rFont val="Calibri"/>
        <family val="2"/>
        <charset val="204"/>
      </rPr>
      <t>°</t>
    </r>
    <r>
      <rPr>
        <sz val="8"/>
        <color theme="1"/>
        <rFont val="Calibri"/>
        <family val="2"/>
        <charset val="204"/>
        <scheme val="minor"/>
      </rPr>
      <t>С</t>
    </r>
  </si>
  <si>
    <t>кВт*год/м2/сезон</t>
  </si>
  <si>
    <t>Ялта</t>
  </si>
  <si>
    <t>Підключене теплове навантаження опалення, Гкал/год</t>
  </si>
  <si>
    <t>Паливо 2</t>
  </si>
  <si>
    <t>ККД котлів, %</t>
  </si>
  <si>
    <t>Ціни палив, без ПДВ</t>
  </si>
  <si>
    <t>Інформація по опалюваним обєтам:</t>
  </si>
  <si>
    <t>Частка у виробництві теплової енергії, %</t>
  </si>
  <si>
    <t>Додаткові дані по котельні на БМ:</t>
  </si>
  <si>
    <t>Кількість встановлених котлів на біомасі, шт</t>
  </si>
  <si>
    <t>Варіант, для кого проводиться розрахунок:</t>
  </si>
  <si>
    <t>Обєкт, що має власну котельню на викопних паливах та впроваджує котельню на БМ</t>
  </si>
  <si>
    <t>Теплопостачальна організація, що впроваджує котельню на БМ</t>
  </si>
  <si>
    <t>Застосування конденсаційного теплоутилізатора (1-так, 0-ні)</t>
  </si>
  <si>
    <t>Варіант впровадження котельні на БМ</t>
  </si>
  <si>
    <t>Окрема модульна котельня</t>
  </si>
  <si>
    <t xml:space="preserve">Окрема "традиційна"  котельня </t>
  </si>
  <si>
    <t xml:space="preserve">Встановлення котлів на біомасі в існуючій котельні </t>
  </si>
  <si>
    <t>Обєкт опалюється іншою котельнею за певним тарифом та впроваджує власну котельню на БМ</t>
  </si>
  <si>
    <t>Довжина тепломережі, що треба прокласти від нової котельні на БМ, у двотрубному вимірі (довж. траншеї), м</t>
  </si>
  <si>
    <t>Фактор погодного регулювання, %</t>
  </si>
  <si>
    <t>Варіант системи очищення димових газів</t>
  </si>
  <si>
    <t>Циклон, мультициклон</t>
  </si>
  <si>
    <t>Наймен.</t>
  </si>
  <si>
    <t>Сума капітальних витрат (без ПДВ), тис. грн</t>
  </si>
  <si>
    <t>Чистий прибуток, тис. грн без ПДВ</t>
  </si>
  <si>
    <t>Грошовий потік, тис. грн</t>
  </si>
  <si>
    <t>Гроші на рахунку, тис. грн</t>
  </si>
  <si>
    <t>Грошовий потік з урахуванням дисконту, тис. грн</t>
  </si>
  <si>
    <t>Гроші на рахунку з урахуванням дисконту, тис. грн</t>
  </si>
  <si>
    <t>тис. грн</t>
  </si>
  <si>
    <t>Корисне споживання теплової енергії за сезон опалення, Гкал</t>
  </si>
  <si>
    <t>Т-ра зовніш. повітря для проектування опалення, °С</t>
  </si>
  <si>
    <t>Відпуск теплової енергії від котельні, Гкал</t>
  </si>
  <si>
    <t>Виробництво теплової енергії котельнею, Гкал</t>
  </si>
  <si>
    <t>Паливо 1 (основне)</t>
  </si>
  <si>
    <t>Режим роботи без оператора (1-так; 0-ні)</t>
  </si>
  <si>
    <t>Витрати електроенергії, тис.кВт*год/рік</t>
  </si>
  <si>
    <t>Середня заробітна  плата персоналу котельної, грн/міс</t>
  </si>
  <si>
    <t>Відсоток нарахування на З/П, %</t>
  </si>
  <si>
    <t>Тариф на електричну енергію для котельні, грн/тис.кВт*год без ПДВ</t>
  </si>
  <si>
    <r>
      <t>Тариф водопостачання та водовідведення, грн/м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без ПДВ</t>
    </r>
  </si>
  <si>
    <t>Виробничі витрати:</t>
  </si>
  <si>
    <t>Витрати палива за рік (т, тис. м3, МВт*год е/е)</t>
  </si>
  <si>
    <t>Обмінний курс Грн/Євро</t>
  </si>
  <si>
    <t>Курс Грн./Євро Порівняльний, на дату 01.06.2019</t>
  </si>
  <si>
    <t>середня ціна паливної біомаси в опалювальний сезон 2021-2022 р.р склала (грн/т без ПДВ):</t>
  </si>
  <si>
    <t>Витрати на впровадження котельні</t>
  </si>
  <si>
    <t>Коеф-ти</t>
  </si>
  <si>
    <t>к-ть, шт</t>
  </si>
  <si>
    <t>сер. потуж. кВт</t>
  </si>
  <si>
    <t>Котли :</t>
  </si>
  <si>
    <t xml:space="preserve"> - на біомасі</t>
  </si>
  <si>
    <t xml:space="preserve"> - на природному газі</t>
  </si>
  <si>
    <t>Варіант впровадження:</t>
  </si>
  <si>
    <t>Рез. (Євро)</t>
  </si>
  <si>
    <t>Модуль без котлів, Євро</t>
  </si>
  <si>
    <t>Тип палива</t>
  </si>
  <si>
    <t>Деревна тріска суха (вол. 25%)</t>
  </si>
  <si>
    <t xml:space="preserve">                                                                                              -         Західна Європа</t>
  </si>
  <si>
    <t>Циклон, мультициклон+Мішочний фільтр</t>
  </si>
  <si>
    <t>Циклон, мультициклон+Електрофільтр</t>
  </si>
  <si>
    <t>Немає</t>
  </si>
  <si>
    <t>Котельне обладнання  на БМ                                  -           Українське</t>
  </si>
  <si>
    <t>Проектування</t>
  </si>
  <si>
    <t>Технічний нагляд</t>
  </si>
  <si>
    <t>Котельне обладнання на природному газі (кВт)  -звичайний</t>
  </si>
  <si>
    <t xml:space="preserve">                                                                                                     - якісний</t>
  </si>
  <si>
    <t>Витрати з приєднання електричної потужності</t>
  </si>
  <si>
    <t>Мішочні фільтри</t>
  </si>
  <si>
    <t>Склад твердого палива  -сипке сухе паливо</t>
  </si>
  <si>
    <t>Система паливоподачі - для сухого палива</t>
  </si>
  <si>
    <t>Вагова, з постом чергового приймальника палива</t>
  </si>
  <si>
    <t>Склад твердого палива та система подачі - тріска, солома</t>
  </si>
  <si>
    <t>ВСЬОГО прямих витрат, Євро:</t>
  </si>
  <si>
    <t>ВСЬОГО з накладними та прибутком підрядника, без ПДВ, Євро:</t>
  </si>
  <si>
    <t>ВСЬОГО з  ПДВ, Євро/кВт:</t>
  </si>
  <si>
    <t>ВСЬОГО без  ПДВ, Євро/кВт:</t>
  </si>
  <si>
    <t>Навантажувач для роботи на паливному складі</t>
  </si>
  <si>
    <t>ВСЬОГО витрат на впровадження котельні з  ПДВ, Євро:</t>
  </si>
  <si>
    <t>Будівництво додаткової тепломережі, без ПДВ, Євро</t>
  </si>
  <si>
    <t>Теплоутилізатор (конденсаційний економайзер)</t>
  </si>
  <si>
    <t>Діаметр (зовн.) додаткової тепломережі, мм</t>
  </si>
  <si>
    <t>Загальна встановлена потужність котельні, МВт</t>
  </si>
  <si>
    <t>Проектування, тис. грн</t>
  </si>
  <si>
    <t>Загально будівельні роботи, тис. грн</t>
  </si>
  <si>
    <t>Основне обладнання (котли), тис. грн</t>
  </si>
  <si>
    <t>Монтаж основного обладнання, тис. грн</t>
  </si>
  <si>
    <t>Допоміжне обладнання та монтаж, тис. грн</t>
  </si>
  <si>
    <t>Загальновиробничі та інші витрати, прибуток будівельно-монтажної орг-ї, тис. грн</t>
  </si>
  <si>
    <t>Всього витрат, грн/Гкал без ПДВ</t>
  </si>
  <si>
    <t>Для варіанту впровадження котельні на БМ теплопостачальною організацією- тариф на ТЕ з біомаси встановлюється по принципу: 
0-   "витрати плюс"; 1-  90% від "газового" тарифу</t>
  </si>
  <si>
    <t>Для варіанту опалення або впровадження котельні на БМ теплопостачальною організацією: тариф на ТЕ, грн/Гкал без ПДВ</t>
  </si>
  <si>
    <t>https://saee.gov.ua/uk/content/serednozvazheni-taryfy</t>
  </si>
  <si>
    <t>Також, для населення, див.:</t>
  </si>
  <si>
    <t>https://www.minregion.gov.ua/wp-content/uploads/2022/02/taryfy-na-poslugu-z-teplopostachannya-na-01.01.2022.xlsx</t>
  </si>
  <si>
    <t>Середньозважені тарифи від 23.09.2022</t>
  </si>
  <si>
    <t>див. тарифи для населення та бюджетних установ тут</t>
  </si>
  <si>
    <t>Ввести "тариф на ТЕ з газу" для даного постачальника або середнє по області, грн/ Гкал без ПДВ</t>
  </si>
  <si>
    <t>Частка витрат:</t>
  </si>
  <si>
    <t>Всього економія/прибуток, тис.  грн/рік без ПДВ</t>
  </si>
  <si>
    <t>Економія/прибуток за строк життя проекту, грн на 1 грн витрат (без дисконтування)</t>
  </si>
  <si>
    <t>Необхідна потужність  резервного котла на природному газі, МВт</t>
  </si>
  <si>
    <t>Застосування системи очищення димових газів (вибрати з переліку)</t>
  </si>
  <si>
    <t>Чи враховувати вартість резервного газового котла (1- так; 0- ні, якщо він вже є або котли на БМ забезпечують необхідну резервну потужність)</t>
  </si>
  <si>
    <t>ВИТРАТИ НА ВПРОВАДЖЕННЯ</t>
  </si>
  <si>
    <t>Запас по встановленій потужності котельні на БМ порівняно з приєднаним навантаженням</t>
  </si>
  <si>
    <t>Всього витрат, з ПДВ</t>
  </si>
  <si>
    <t>Євро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</si>
</sst>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00"/>
    <numFmt numFmtId="166" formatCode="0.0"/>
    <numFmt numFmtId="167" formatCode="0.0000"/>
    <numFmt numFmtId="168" formatCode="#,##0.0"/>
    <numFmt numFmtId="169" formatCode="#,##0_ ;[Red]\-#,##0\ "/>
    <numFmt numFmtId="170" formatCode="0.0%"/>
    <numFmt numFmtId="171" formatCode="_(* #,##0.00_);_(* \(#,##0.00\);_(* &quot;-&quot;??_);_(@_)"/>
    <numFmt numFmtId="172" formatCode="_-* #,##0.00_-;_-* #,##0.00\-;_-* &quot;-&quot;??_-;_-@_-"/>
  </numFmts>
  <fonts count="7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8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rgb="FF0033CC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sz val="8"/>
      <color rgb="FF0033CC"/>
      <name val="Calibri"/>
      <family val="2"/>
      <charset val="204"/>
      <scheme val="minor"/>
    </font>
    <font>
      <b/>
      <sz val="8"/>
      <color rgb="FF0000FF"/>
      <name val="Calibri"/>
      <family val="2"/>
      <charset val="204"/>
      <scheme val="minor"/>
    </font>
    <font>
      <sz val="9"/>
      <color rgb="FF59595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595959"/>
      <name val="Arial"/>
      <family val="2"/>
      <charset val="204"/>
    </font>
    <font>
      <b/>
      <sz val="9"/>
      <color theme="4"/>
      <name val="Arial"/>
      <family val="2"/>
      <charset val="204"/>
    </font>
    <font>
      <b/>
      <sz val="11"/>
      <color theme="4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i/>
      <sz val="9"/>
      <color rgb="FF0000FF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sz val="10"/>
      <color theme="1"/>
      <name val="Шрифт текста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0"/>
      <color theme="8" tint="-0.249977111117893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0"/>
      <color rgb="FFC0000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0"/>
      <color theme="8" tint="-0.249977111117893"/>
      <name val="Calibri"/>
      <family val="2"/>
      <charset val="204"/>
      <scheme val="minor"/>
    </font>
    <font>
      <u/>
      <sz val="8"/>
      <color indexed="12"/>
      <name val="Arial Cyr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theme="8" tint="-0.249977111117893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9"/>
      <color rgb="FF0000FF"/>
      <name val="Arial"/>
      <family val="2"/>
      <charset val="204"/>
    </font>
    <font>
      <b/>
      <sz val="9"/>
      <color rgb="FF0000FF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color rgb="FF0000FF"/>
      <name val="Calibri"/>
      <family val="2"/>
      <charset val="204"/>
      <scheme val="minor"/>
    </font>
    <font>
      <b/>
      <i/>
      <sz val="7"/>
      <color theme="1"/>
      <name val="Calibri"/>
      <family val="2"/>
      <charset val="204"/>
      <scheme val="minor"/>
    </font>
    <font>
      <sz val="8"/>
      <color theme="0" tint="-0.34998626667073579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u/>
      <sz val="10"/>
      <color indexed="12"/>
      <name val="Arial Cyr"/>
      <charset val="204"/>
    </font>
    <font>
      <b/>
      <sz val="10"/>
      <color rgb="FF333333"/>
      <name val="Verdana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10"/>
      <color rgb="FF000099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DA9694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EBEBEB"/>
      </right>
      <top/>
      <bottom style="medium">
        <color rgb="FFEBEBEB"/>
      </bottom>
      <diagonal/>
    </border>
    <border>
      <left style="medium">
        <color indexed="64"/>
      </left>
      <right style="medium">
        <color rgb="FFEBEBEB"/>
      </right>
      <top style="medium">
        <color indexed="64"/>
      </top>
      <bottom style="medium">
        <color indexed="64"/>
      </bottom>
      <diagonal/>
    </border>
    <border>
      <left/>
      <right style="medium">
        <color rgb="FFEBEBEB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BEBEB"/>
      </bottom>
      <diagonal/>
    </border>
    <border>
      <left style="medium">
        <color indexed="64"/>
      </left>
      <right style="medium">
        <color indexed="64"/>
      </right>
      <top/>
      <bottom style="medium">
        <color rgb="FFEBEBEB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6" fillId="0" borderId="0"/>
    <xf numFmtId="9" fontId="7" fillId="0" borderId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/>
    <xf numFmtId="164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10" fillId="0" borderId="0"/>
    <xf numFmtId="172" fontId="4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10" fillId="0" borderId="0"/>
    <xf numFmtId="0" fontId="45" fillId="0" borderId="0"/>
    <xf numFmtId="0" fontId="48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>
      <alignment wrapText="1"/>
    </xf>
    <xf numFmtId="2" fontId="2" fillId="0" borderId="4" xfId="0" applyNumberFormat="1" applyFont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32" fillId="2" borderId="4" xfId="0" applyNumberFormat="1" applyFont="1" applyFill="1" applyBorder="1" applyAlignment="1">
      <alignment wrapText="1"/>
    </xf>
    <xf numFmtId="0" fontId="17" fillId="0" borderId="0" xfId="20" applyFont="1" applyAlignment="1">
      <alignment wrapText="1"/>
    </xf>
    <xf numFmtId="0" fontId="17" fillId="0" borderId="19" xfId="20" applyFont="1" applyBorder="1" applyAlignment="1">
      <alignment horizontal="center" wrapText="1"/>
    </xf>
    <xf numFmtId="0" fontId="17" fillId="0" borderId="20" xfId="20" applyFont="1" applyBorder="1" applyAlignment="1">
      <alignment horizontal="center" wrapText="1"/>
    </xf>
    <xf numFmtId="0" fontId="17" fillId="0" borderId="20" xfId="20" applyFont="1" applyBorder="1" applyAlignment="1">
      <alignment horizontal="left" wrapText="1"/>
    </xf>
    <xf numFmtId="0" fontId="17" fillId="0" borderId="20" xfId="20" applyFont="1" applyBorder="1" applyAlignment="1">
      <alignment wrapText="1"/>
    </xf>
    <xf numFmtId="0" fontId="17" fillId="0" borderId="46" xfId="20" applyFont="1" applyBorder="1" applyAlignment="1">
      <alignment horizontal="left" wrapText="1"/>
    </xf>
    <xf numFmtId="165" fontId="33" fillId="0" borderId="6" xfId="20" applyNumberFormat="1" applyFont="1" applyBorder="1" applyAlignment="1">
      <alignment horizontal="center" wrapText="1"/>
    </xf>
    <xf numFmtId="170" fontId="34" fillId="2" borderId="7" xfId="21" applyNumberFormat="1" applyFont="1" applyFill="1" applyBorder="1" applyAlignment="1">
      <alignment horizontal="center" wrapText="1"/>
    </xf>
    <xf numFmtId="0" fontId="35" fillId="0" borderId="51" xfId="0" applyFont="1" applyBorder="1" applyAlignment="1">
      <alignment vertical="center" wrapText="1"/>
    </xf>
    <xf numFmtId="0" fontId="36" fillId="0" borderId="51" xfId="0" applyFont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7" fillId="0" borderId="52" xfId="0" applyFont="1" applyBorder="1" applyAlignment="1">
      <alignment vertical="center" wrapText="1"/>
    </xf>
    <xf numFmtId="0" fontId="37" fillId="0" borderId="53" xfId="0" applyFont="1" applyBorder="1" applyAlignment="1">
      <alignment vertical="center" wrapText="1"/>
    </xf>
    <xf numFmtId="0" fontId="37" fillId="0" borderId="12" xfId="0" applyFont="1" applyBorder="1" applyAlignment="1">
      <alignment vertical="center" wrapText="1"/>
    </xf>
    <xf numFmtId="0" fontId="37" fillId="0" borderId="54" xfId="0" applyFont="1" applyBorder="1" applyAlignment="1">
      <alignment vertical="center" wrapText="1"/>
    </xf>
    <xf numFmtId="0" fontId="37" fillId="0" borderId="55" xfId="0" applyFont="1" applyBorder="1" applyAlignment="1">
      <alignment vertical="center" wrapText="1"/>
    </xf>
    <xf numFmtId="0" fontId="37" fillId="0" borderId="8" xfId="0" applyFont="1" applyBorder="1" applyAlignment="1">
      <alignment vertical="center" wrapText="1"/>
    </xf>
    <xf numFmtId="0" fontId="35" fillId="6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4" xfId="0" applyFont="1" applyBorder="1" applyAlignment="1">
      <alignment wrapText="1"/>
    </xf>
    <xf numFmtId="0" fontId="17" fillId="7" borderId="4" xfId="0" applyFont="1" applyFill="1" applyBorder="1" applyAlignment="1">
      <alignment wrapText="1"/>
    </xf>
    <xf numFmtId="0" fontId="40" fillId="0" borderId="4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26" xfId="0" applyFont="1" applyBorder="1" applyAlignment="1">
      <alignment wrapText="1"/>
    </xf>
    <xf numFmtId="0" fontId="43" fillId="11" borderId="4" xfId="0" applyFont="1" applyFill="1" applyBorder="1" applyAlignment="1">
      <alignment horizontal="center" wrapText="1"/>
    </xf>
    <xf numFmtId="0" fontId="44" fillId="11" borderId="4" xfId="0" applyFont="1" applyFill="1" applyBorder="1" applyAlignment="1">
      <alignment horizontal="center" wrapText="1"/>
    </xf>
    <xf numFmtId="0" fontId="0" fillId="0" borderId="0" xfId="0"/>
    <xf numFmtId="0" fontId="17" fillId="0" borderId="0" xfId="0" applyFont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0" fillId="0" borderId="0" xfId="0" quotePrefix="1" applyFont="1" applyAlignment="1"/>
    <xf numFmtId="0" fontId="0" fillId="0" borderId="0" xfId="0" applyFont="1" applyAlignment="1">
      <alignment wrapText="1"/>
    </xf>
    <xf numFmtId="0" fontId="47" fillId="0" borderId="4" xfId="0" applyFont="1" applyBorder="1" applyAlignment="1">
      <alignment horizontal="center" wrapText="1"/>
    </xf>
    <xf numFmtId="0" fontId="49" fillId="15" borderId="15" xfId="33" applyFont="1" applyFill="1" applyBorder="1" applyAlignment="1" applyProtection="1">
      <alignment horizontal="center"/>
    </xf>
    <xf numFmtId="9" fontId="18" fillId="2" borderId="4" xfId="13" applyFont="1" applyFill="1" applyBorder="1" applyAlignment="1">
      <alignment horizontal="center" wrapText="1"/>
    </xf>
    <xf numFmtId="0" fontId="15" fillId="6" borderId="15" xfId="0" applyFont="1" applyFill="1" applyBorder="1" applyAlignment="1">
      <alignment horizontal="center" wrapText="1"/>
    </xf>
    <xf numFmtId="0" fontId="0" fillId="0" borderId="21" xfId="0" applyFont="1" applyBorder="1" applyAlignment="1">
      <alignment wrapText="1"/>
    </xf>
    <xf numFmtId="0" fontId="48" fillId="0" borderId="0" xfId="33" applyAlignment="1" applyProtection="1"/>
    <xf numFmtId="0" fontId="50" fillId="2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3" fontId="51" fillId="0" borderId="0" xfId="0" applyNumberFormat="1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52" fillId="0" borderId="0" xfId="33" applyFont="1" applyAlignment="1" applyProtection="1"/>
    <xf numFmtId="0" fontId="17" fillId="0" borderId="15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7" fillId="7" borderId="4" xfId="0" applyFont="1" applyFill="1" applyBorder="1"/>
    <xf numFmtId="2" fontId="56" fillId="7" borderId="4" xfId="0" applyNumberFormat="1" applyFont="1" applyFill="1" applyBorder="1"/>
    <xf numFmtId="0" fontId="17" fillId="17" borderId="4" xfId="0" applyFont="1" applyFill="1" applyBorder="1"/>
    <xf numFmtId="2" fontId="56" fillId="17" borderId="4" xfId="0" applyNumberFormat="1" applyFont="1" applyFill="1" applyBorder="1"/>
    <xf numFmtId="0" fontId="0" fillId="0" borderId="0" xfId="0" applyFont="1" applyBorder="1" applyAlignment="1">
      <alignment horizontal="center" wrapText="1"/>
    </xf>
    <xf numFmtId="9" fontId="18" fillId="2" borderId="16" xfId="13" applyFont="1" applyFill="1" applyBorder="1" applyAlignment="1">
      <alignment horizontal="center" wrapText="1"/>
    </xf>
    <xf numFmtId="0" fontId="57" fillId="0" borderId="4" xfId="0" applyFont="1" applyBorder="1" applyAlignment="1">
      <alignment vertical="center" wrapText="1"/>
    </xf>
    <xf numFmtId="0" fontId="57" fillId="0" borderId="4" xfId="0" applyFont="1" applyBorder="1" applyAlignment="1">
      <alignment horizontal="left" vertical="center" wrapText="1"/>
    </xf>
    <xf numFmtId="0" fontId="46" fillId="21" borderId="4" xfId="0" applyFont="1" applyFill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9" fontId="50" fillId="2" borderId="4" xfId="13" applyFont="1" applyFill="1" applyBorder="1" applyAlignment="1">
      <alignment horizontal="center" wrapText="1"/>
    </xf>
    <xf numFmtId="0" fontId="1" fillId="22" borderId="4" xfId="0" applyFont="1" applyFill="1" applyBorder="1" applyAlignment="1">
      <alignment wrapText="1"/>
    </xf>
    <xf numFmtId="0" fontId="12" fillId="9" borderId="0" xfId="25" applyFont="1" applyFill="1" applyBorder="1" applyAlignment="1">
      <alignment horizontal="left" vertical="center"/>
    </xf>
    <xf numFmtId="0" fontId="14" fillId="9" borderId="0" xfId="25" applyFont="1" applyFill="1" applyBorder="1" applyAlignment="1">
      <alignment horizontal="center" vertical="center"/>
    </xf>
    <xf numFmtId="0" fontId="14" fillId="9" borderId="0" xfId="25" applyFont="1" applyFill="1" applyBorder="1" applyAlignment="1">
      <alignment horizontal="center" vertical="center" wrapText="1"/>
    </xf>
    <xf numFmtId="0" fontId="13" fillId="0" borderId="0" xfId="25" applyFont="1"/>
    <xf numFmtId="0" fontId="59" fillId="4" borderId="3" xfId="25" applyFont="1" applyFill="1" applyBorder="1" applyAlignment="1">
      <alignment horizontal="center" vertical="center"/>
    </xf>
    <xf numFmtId="0" fontId="59" fillId="4" borderId="4" xfId="25" applyFont="1" applyFill="1" applyBorder="1" applyAlignment="1">
      <alignment horizontal="center" vertical="center"/>
    </xf>
    <xf numFmtId="0" fontId="59" fillId="4" borderId="5" xfId="25" applyFont="1" applyFill="1" applyBorder="1" applyAlignment="1">
      <alignment horizontal="center" vertical="center"/>
    </xf>
    <xf numFmtId="0" fontId="53" fillId="10" borderId="30" xfId="25" applyFont="1" applyFill="1" applyBorder="1" applyAlignment="1">
      <alignment vertical="top" wrapText="1"/>
    </xf>
    <xf numFmtId="3" fontId="54" fillId="10" borderId="3" xfId="25" applyNumberFormat="1" applyFont="1" applyFill="1" applyBorder="1" applyAlignment="1">
      <alignment horizontal="right" vertical="center"/>
    </xf>
    <xf numFmtId="3" fontId="53" fillId="10" borderId="4" xfId="25" applyNumberFormat="1" applyFont="1" applyFill="1" applyBorder="1" applyAlignment="1">
      <alignment horizontal="right" vertical="center"/>
    </xf>
    <xf numFmtId="3" fontId="53" fillId="10" borderId="5" xfId="25" applyNumberFormat="1" applyFont="1" applyFill="1" applyBorder="1" applyAlignment="1">
      <alignment horizontal="right" vertical="center"/>
    </xf>
    <xf numFmtId="3" fontId="53" fillId="10" borderId="3" xfId="25" applyNumberFormat="1" applyFont="1" applyFill="1" applyBorder="1" applyAlignment="1">
      <alignment horizontal="right" vertical="center"/>
    </xf>
    <xf numFmtId="3" fontId="54" fillId="10" borderId="4" xfId="25" applyNumberFormat="1" applyFont="1" applyFill="1" applyBorder="1" applyAlignment="1">
      <alignment horizontal="right" vertical="center"/>
    </xf>
    <xf numFmtId="3" fontId="54" fillId="10" borderId="5" xfId="25" applyNumberFormat="1" applyFont="1" applyFill="1" applyBorder="1" applyAlignment="1">
      <alignment horizontal="right" vertical="center"/>
    </xf>
    <xf numFmtId="0" fontId="53" fillId="4" borderId="30" xfId="25" applyFont="1" applyFill="1" applyBorder="1" applyAlignment="1">
      <alignment vertical="top"/>
    </xf>
    <xf numFmtId="2" fontId="53" fillId="4" borderId="3" xfId="25" applyNumberFormat="1" applyFont="1" applyFill="1" applyBorder="1" applyAlignment="1">
      <alignment horizontal="center" vertical="center"/>
    </xf>
    <xf numFmtId="2" fontId="54" fillId="4" borderId="4" xfId="25" applyNumberFormat="1" applyFont="1" applyFill="1" applyBorder="1" applyAlignment="1">
      <alignment horizontal="right" vertical="center"/>
    </xf>
    <xf numFmtId="2" fontId="54" fillId="4" borderId="5" xfId="25" applyNumberFormat="1" applyFont="1" applyFill="1" applyBorder="1" applyAlignment="1">
      <alignment horizontal="right" vertical="center"/>
    </xf>
    <xf numFmtId="2" fontId="54" fillId="4" borderId="4" xfId="25" applyNumberFormat="1" applyFont="1" applyFill="1" applyBorder="1" applyAlignment="1">
      <alignment horizontal="center" vertical="center"/>
    </xf>
    <xf numFmtId="2" fontId="54" fillId="4" borderId="5" xfId="25" applyNumberFormat="1" applyFont="1" applyFill="1" applyBorder="1" applyAlignment="1">
      <alignment horizontal="center" vertical="center"/>
    </xf>
    <xf numFmtId="0" fontId="53" fillId="10" borderId="30" xfId="25" applyFont="1" applyFill="1" applyBorder="1" applyAlignment="1">
      <alignment vertical="justify"/>
    </xf>
    <xf numFmtId="0" fontId="53" fillId="10" borderId="3" xfId="25" applyFont="1" applyFill="1" applyBorder="1" applyAlignment="1">
      <alignment horizontal="right" vertical="center"/>
    </xf>
    <xf numFmtId="165" fontId="53" fillId="10" borderId="4" xfId="25" applyNumberFormat="1" applyFont="1" applyFill="1" applyBorder="1" applyAlignment="1">
      <alignment horizontal="right" vertical="center"/>
    </xf>
    <xf numFmtId="0" fontId="53" fillId="10" borderId="30" xfId="25" applyFont="1" applyFill="1" applyBorder="1" applyAlignment="1">
      <alignment vertical="justify" wrapText="1"/>
    </xf>
    <xf numFmtId="1" fontId="53" fillId="10" borderId="4" xfId="25" applyNumberFormat="1" applyFont="1" applyFill="1" applyBorder="1" applyAlignment="1">
      <alignment horizontal="right" vertical="center"/>
    </xf>
    <xf numFmtId="1" fontId="53" fillId="10" borderId="5" xfId="25" applyNumberFormat="1" applyFont="1" applyFill="1" applyBorder="1" applyAlignment="1">
      <alignment horizontal="right" vertical="center"/>
    </xf>
    <xf numFmtId="0" fontId="53" fillId="4" borderId="30" xfId="25" applyFont="1" applyFill="1" applyBorder="1" applyAlignment="1">
      <alignment vertical="justify"/>
    </xf>
    <xf numFmtId="0" fontId="54" fillId="4" borderId="3" xfId="25" applyFont="1" applyFill="1" applyBorder="1" applyAlignment="1">
      <alignment horizontal="center" vertical="center"/>
    </xf>
    <xf numFmtId="0" fontId="53" fillId="4" borderId="49" xfId="25" applyFont="1" applyFill="1" applyBorder="1" applyAlignment="1">
      <alignment vertical="justify"/>
    </xf>
    <xf numFmtId="0" fontId="54" fillId="4" borderId="23" xfId="25" applyFont="1" applyFill="1" applyBorder="1" applyAlignment="1">
      <alignment horizontal="center" vertical="center"/>
    </xf>
    <xf numFmtId="2" fontId="54" fillId="4" borderId="6" xfId="25" applyNumberFormat="1" applyFont="1" applyFill="1" applyBorder="1" applyAlignment="1">
      <alignment horizontal="center" vertical="center"/>
    </xf>
    <xf numFmtId="2" fontId="54" fillId="4" borderId="7" xfId="25" applyNumberFormat="1" applyFont="1" applyFill="1" applyBorder="1" applyAlignment="1">
      <alignment horizontal="center" vertical="center"/>
    </xf>
    <xf numFmtId="0" fontId="59" fillId="9" borderId="1" xfId="25" applyFont="1" applyFill="1" applyBorder="1" applyAlignment="1">
      <alignment horizontal="left" vertical="top"/>
    </xf>
    <xf numFmtId="0" fontId="53" fillId="9" borderId="0" xfId="25" applyFont="1" applyFill="1" applyBorder="1" applyAlignment="1">
      <alignment horizontal="left" vertical="top"/>
    </xf>
    <xf numFmtId="0" fontId="53" fillId="0" borderId="0" xfId="25" applyFont="1"/>
    <xf numFmtId="0" fontId="54" fillId="3" borderId="4" xfId="25" applyFont="1" applyFill="1" applyBorder="1" applyAlignment="1">
      <alignment vertical="top" wrapText="1"/>
    </xf>
    <xf numFmtId="169" fontId="54" fillId="3" borderId="4" xfId="25" applyNumberFormat="1" applyFont="1" applyFill="1" applyBorder="1" applyAlignment="1">
      <alignment horizontal="right" vertical="center"/>
    </xf>
    <xf numFmtId="3" fontId="54" fillId="3" borderId="4" xfId="25" applyNumberFormat="1" applyFont="1" applyFill="1" applyBorder="1" applyAlignment="1">
      <alignment horizontal="left" vertical="center"/>
    </xf>
    <xf numFmtId="1" fontId="54" fillId="9" borderId="0" xfId="25" applyNumberFormat="1" applyFont="1" applyFill="1" applyBorder="1" applyAlignment="1">
      <alignment vertical="center"/>
    </xf>
    <xf numFmtId="3" fontId="54" fillId="9" borderId="0" xfId="25" applyNumberFormat="1" applyFont="1" applyFill="1" applyBorder="1" applyAlignment="1">
      <alignment vertical="center"/>
    </xf>
    <xf numFmtId="0" fontId="53" fillId="9" borderId="0" xfId="25" applyFont="1" applyFill="1" applyBorder="1" applyAlignment="1">
      <alignment vertical="top"/>
    </xf>
    <xf numFmtId="0" fontId="53" fillId="9" borderId="0" xfId="25" applyFont="1" applyFill="1" applyBorder="1"/>
    <xf numFmtId="0" fontId="54" fillId="3" borderId="4" xfId="25" applyFont="1" applyFill="1" applyBorder="1" applyAlignment="1">
      <alignment vertical="justify"/>
    </xf>
    <xf numFmtId="170" fontId="54" fillId="3" borderId="4" xfId="25" applyNumberFormat="1" applyFont="1" applyFill="1" applyBorder="1" applyAlignment="1">
      <alignment horizontal="right" vertical="center"/>
    </xf>
    <xf numFmtId="0" fontId="54" fillId="3" borderId="4" xfId="25" applyFont="1" applyFill="1" applyBorder="1" applyAlignment="1">
      <alignment horizontal="left" vertical="center"/>
    </xf>
    <xf numFmtId="166" fontId="54" fillId="3" borderId="4" xfId="25" applyNumberFormat="1" applyFont="1" applyFill="1" applyBorder="1" applyAlignment="1">
      <alignment horizontal="right" vertical="center"/>
    </xf>
    <xf numFmtId="2" fontId="54" fillId="3" borderId="4" xfId="25" applyNumberFormat="1" applyFont="1" applyFill="1" applyBorder="1" applyAlignment="1">
      <alignment horizontal="right" vertical="center"/>
    </xf>
    <xf numFmtId="0" fontId="48" fillId="0" borderId="4" xfId="33" applyBorder="1" applyAlignment="1" applyProtection="1"/>
    <xf numFmtId="166" fontId="2" fillId="0" borderId="4" xfId="0" applyNumberFormat="1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36" fillId="0" borderId="4" xfId="0" applyNumberFormat="1" applyFont="1" applyBorder="1" applyAlignment="1">
      <alignment horizontal="center" wrapText="1"/>
    </xf>
    <xf numFmtId="9" fontId="50" fillId="16" borderId="4" xfId="13" applyFont="1" applyFill="1" applyBorder="1" applyAlignment="1">
      <alignment horizontal="center" wrapText="1"/>
    </xf>
    <xf numFmtId="9" fontId="2" fillId="0" borderId="4" xfId="0" applyNumberFormat="1" applyFont="1" applyBorder="1" applyAlignment="1">
      <alignment horizontal="center" wrapText="1"/>
    </xf>
    <xf numFmtId="0" fontId="28" fillId="0" borderId="4" xfId="0" applyFont="1" applyBorder="1" applyAlignment="1" applyProtection="1">
      <alignment horizontal="justify" vertical="center" wrapText="1"/>
    </xf>
    <xf numFmtId="0" fontId="60" fillId="6" borderId="4" xfId="0" applyFont="1" applyFill="1" applyBorder="1" applyAlignment="1">
      <alignment horizontal="center" vertical="center" wrapText="1"/>
    </xf>
    <xf numFmtId="0" fontId="61" fillId="6" borderId="4" xfId="0" applyFont="1" applyFill="1" applyBorder="1" applyAlignment="1">
      <alignment horizontal="center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9" fillId="6" borderId="4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9" fontId="40" fillId="0" borderId="4" xfId="13" applyFont="1" applyBorder="1" applyAlignment="1">
      <alignment horizontal="center" wrapText="1"/>
    </xf>
    <xf numFmtId="0" fontId="18" fillId="2" borderId="16" xfId="0" applyFont="1" applyFill="1" applyBorder="1" applyAlignment="1">
      <alignment horizontal="center" wrapText="1"/>
    </xf>
    <xf numFmtId="0" fontId="0" fillId="16" borderId="4" xfId="0" applyFont="1" applyFill="1" applyBorder="1" applyAlignment="1">
      <alignment wrapText="1"/>
    </xf>
    <xf numFmtId="0" fontId="1" fillId="18" borderId="4" xfId="0" applyFont="1" applyFill="1" applyBorder="1" applyAlignment="1">
      <alignment wrapText="1"/>
    </xf>
    <xf numFmtId="0" fontId="35" fillId="0" borderId="4" xfId="0" applyFon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166" fontId="18" fillId="2" borderId="15" xfId="26" applyNumberFormat="1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165" fontId="34" fillId="0" borderId="23" xfId="20" applyNumberFormat="1" applyFont="1" applyBorder="1" applyAlignment="1">
      <alignment horizontal="center" wrapText="1"/>
    </xf>
    <xf numFmtId="0" fontId="17" fillId="0" borderId="15" xfId="0" applyFont="1" applyBorder="1" applyAlignment="1">
      <alignment wrapText="1"/>
    </xf>
    <xf numFmtId="0" fontId="17" fillId="7" borderId="16" xfId="0" applyFont="1" applyFill="1" applyBorder="1" applyAlignment="1">
      <alignment wrapText="1"/>
    </xf>
    <xf numFmtId="0" fontId="17" fillId="0" borderId="0" xfId="0" applyFont="1" applyAlignment="1">
      <alignment horizontal="justify" vertical="center"/>
    </xf>
    <xf numFmtId="0" fontId="19" fillId="8" borderId="0" xfId="0" applyFont="1" applyFill="1" applyAlignment="1">
      <alignment horizontal="center" wrapText="1"/>
    </xf>
    <xf numFmtId="2" fontId="0" fillId="0" borderId="0" xfId="0" applyNumberFormat="1" applyFont="1" applyAlignment="1">
      <alignment wrapText="1"/>
    </xf>
    <xf numFmtId="0" fontId="17" fillId="0" borderId="9" xfId="0" applyFont="1" applyBorder="1" applyAlignment="1">
      <alignment horizontal="center" wrapText="1"/>
    </xf>
    <xf numFmtId="0" fontId="17" fillId="0" borderId="16" xfId="0" applyFont="1" applyBorder="1" applyAlignment="1">
      <alignment wrapText="1"/>
    </xf>
    <xf numFmtId="0" fontId="32" fillId="14" borderId="4" xfId="0" applyFont="1" applyFill="1" applyBorder="1" applyAlignment="1">
      <alignment horizontal="center" wrapText="1"/>
    </xf>
    <xf numFmtId="0" fontId="17" fillId="0" borderId="0" xfId="0" quotePrefix="1" applyFont="1" applyAlignment="1">
      <alignment horizontal="left" wrapText="1"/>
    </xf>
    <xf numFmtId="0" fontId="25" fillId="13" borderId="17" xfId="0" applyFont="1" applyFill="1" applyBorder="1" applyAlignment="1">
      <alignment wrapText="1"/>
    </xf>
    <xf numFmtId="0" fontId="17" fillId="0" borderId="18" xfId="0" applyFont="1" applyBorder="1" applyAlignment="1">
      <alignment wrapText="1"/>
    </xf>
    <xf numFmtId="3" fontId="32" fillId="0" borderId="56" xfId="0" applyNumberFormat="1" applyFont="1" applyBorder="1" applyAlignment="1">
      <alignment horizontal="center" wrapText="1"/>
    </xf>
    <xf numFmtId="0" fontId="25" fillId="13" borderId="43" xfId="0" applyFont="1" applyFill="1" applyBorder="1" applyAlignment="1">
      <alignment wrapText="1"/>
    </xf>
    <xf numFmtId="0" fontId="17" fillId="0" borderId="20" xfId="0" applyFont="1" applyBorder="1" applyAlignment="1">
      <alignment wrapText="1"/>
    </xf>
    <xf numFmtId="3" fontId="32" fillId="0" borderId="42" xfId="0" quotePrefix="1" applyNumberFormat="1" applyFont="1" applyBorder="1" applyAlignment="1">
      <alignment horizontal="center" wrapText="1"/>
    </xf>
    <xf numFmtId="0" fontId="25" fillId="13" borderId="58" xfId="0" applyFont="1" applyFill="1" applyBorder="1" applyAlignment="1">
      <alignment wrapText="1"/>
    </xf>
    <xf numFmtId="0" fontId="17" fillId="0" borderId="6" xfId="0" applyFont="1" applyBorder="1" applyAlignment="1">
      <alignment wrapText="1"/>
    </xf>
    <xf numFmtId="0" fontId="25" fillId="13" borderId="27" xfId="0" applyFont="1" applyFill="1" applyBorder="1" applyAlignment="1">
      <alignment wrapText="1"/>
    </xf>
    <xf numFmtId="3" fontId="32" fillId="0" borderId="16" xfId="0" applyNumberFormat="1" applyFont="1" applyBorder="1" applyAlignment="1">
      <alignment horizontal="center" wrapText="1"/>
    </xf>
    <xf numFmtId="1" fontId="17" fillId="0" borderId="0" xfId="0" applyNumberFormat="1" applyFont="1" applyAlignment="1">
      <alignment horizontal="center" wrapText="1"/>
    </xf>
    <xf numFmtId="0" fontId="36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1" fontId="46" fillId="21" borderId="4" xfId="0" applyNumberFormat="1" applyFont="1" applyFill="1" applyBorder="1" applyAlignment="1">
      <alignment horizontal="center" wrapText="1"/>
    </xf>
    <xf numFmtId="1" fontId="18" fillId="2" borderId="4" xfId="0" applyNumberFormat="1" applyFont="1" applyFill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3" fontId="66" fillId="0" borderId="16" xfId="0" applyNumberFormat="1" applyFont="1" applyBorder="1" applyAlignment="1">
      <alignment horizontal="center" wrapText="1"/>
    </xf>
    <xf numFmtId="3" fontId="32" fillId="0" borderId="46" xfId="0" applyNumberFormat="1" applyFont="1" applyBorder="1" applyAlignment="1">
      <alignment horizontal="center" wrapText="1"/>
    </xf>
    <xf numFmtId="0" fontId="17" fillId="0" borderId="36" xfId="0" applyFont="1" applyBorder="1" applyAlignment="1">
      <alignment wrapText="1"/>
    </xf>
    <xf numFmtId="3" fontId="32" fillId="0" borderId="60" xfId="0" quotePrefix="1" applyNumberFormat="1" applyFont="1" applyBorder="1" applyAlignment="1">
      <alignment horizontal="center" wrapText="1"/>
    </xf>
    <xf numFmtId="3" fontId="32" fillId="0" borderId="41" xfId="0" applyNumberFormat="1" applyFont="1" applyBorder="1" applyAlignment="1">
      <alignment horizontal="center" wrapText="1"/>
    </xf>
    <xf numFmtId="3" fontId="32" fillId="13" borderId="56" xfId="0" applyNumberFormat="1" applyFont="1" applyFill="1" applyBorder="1" applyAlignment="1">
      <alignment horizontal="center" wrapText="1"/>
    </xf>
    <xf numFmtId="0" fontId="17" fillId="0" borderId="5" xfId="0" applyFont="1" applyBorder="1" applyAlignment="1">
      <alignment wrapText="1"/>
    </xf>
    <xf numFmtId="0" fontId="17" fillId="0" borderId="7" xfId="0" applyFont="1" applyBorder="1" applyAlignment="1">
      <alignment wrapText="1"/>
    </xf>
    <xf numFmtId="3" fontId="32" fillId="0" borderId="42" xfId="0" applyNumberFormat="1" applyFont="1" applyBorder="1" applyAlignment="1">
      <alignment horizontal="center" wrapText="1"/>
    </xf>
    <xf numFmtId="3" fontId="32" fillId="0" borderId="59" xfId="0" applyNumberFormat="1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3" fontId="32" fillId="0" borderId="60" xfId="0" applyNumberFormat="1" applyFont="1" applyBorder="1" applyAlignment="1">
      <alignment horizontal="center" wrapText="1"/>
    </xf>
    <xf numFmtId="0" fontId="25" fillId="0" borderId="18" xfId="0" quotePrefix="1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165" fontId="17" fillId="0" borderId="4" xfId="0" applyNumberFormat="1" applyFont="1" applyBorder="1" applyAlignment="1">
      <alignment horizontal="center" wrapText="1"/>
    </xf>
    <xf numFmtId="2" fontId="17" fillId="0" borderId="4" xfId="0" applyNumberFormat="1" applyFont="1" applyBorder="1" applyAlignment="1">
      <alignment horizontal="center" wrapText="1"/>
    </xf>
    <xf numFmtId="0" fontId="25" fillId="0" borderId="43" xfId="0" applyFont="1" applyBorder="1" applyAlignment="1">
      <alignment wrapText="1"/>
    </xf>
    <xf numFmtId="0" fontId="25" fillId="0" borderId="58" xfId="0" applyFont="1" applyBorder="1" applyAlignment="1">
      <alignment wrapText="1"/>
    </xf>
    <xf numFmtId="0" fontId="32" fillId="0" borderId="18" xfId="0" applyFont="1" applyFill="1" applyBorder="1" applyAlignment="1">
      <alignment horizontal="center" wrapText="1"/>
    </xf>
    <xf numFmtId="0" fontId="25" fillId="0" borderId="17" xfId="0" applyFont="1" applyBorder="1" applyAlignment="1">
      <alignment wrapText="1"/>
    </xf>
    <xf numFmtId="0" fontId="17" fillId="0" borderId="18" xfId="0" applyFont="1" applyFill="1" applyBorder="1" applyAlignment="1">
      <alignment horizontal="center" wrapText="1"/>
    </xf>
    <xf numFmtId="2" fontId="17" fillId="0" borderId="18" xfId="0" applyNumberFormat="1" applyFont="1" applyBorder="1" applyAlignment="1">
      <alignment horizontal="center" wrapText="1"/>
    </xf>
    <xf numFmtId="0" fontId="25" fillId="0" borderId="19" xfId="0" applyFont="1" applyBorder="1" applyAlignment="1">
      <alignment wrapText="1"/>
    </xf>
    <xf numFmtId="0" fontId="25" fillId="0" borderId="28" xfId="0" applyFont="1" applyBorder="1" applyAlignment="1">
      <alignment wrapText="1"/>
    </xf>
    <xf numFmtId="0" fontId="25" fillId="0" borderId="3" xfId="0" applyFont="1" applyBorder="1" applyAlignment="1">
      <alignment wrapText="1"/>
    </xf>
    <xf numFmtId="0" fontId="25" fillId="0" borderId="20" xfId="0" applyFont="1" applyBorder="1" applyAlignment="1">
      <alignment wrapText="1"/>
    </xf>
    <xf numFmtId="0" fontId="25" fillId="0" borderId="23" xfId="0" applyFont="1" applyBorder="1" applyAlignment="1">
      <alignment horizontal="left" wrapText="1"/>
    </xf>
    <xf numFmtId="0" fontId="42" fillId="2" borderId="6" xfId="0" applyFont="1" applyFill="1" applyBorder="1" applyAlignment="1">
      <alignment horizontal="center" wrapText="1"/>
    </xf>
    <xf numFmtId="0" fontId="31" fillId="17" borderId="32" xfId="0" applyFont="1" applyFill="1" applyBorder="1" applyAlignment="1">
      <alignment horizontal="center" wrapText="1"/>
    </xf>
    <xf numFmtId="0" fontId="17" fillId="0" borderId="3" xfId="0" applyFont="1" applyBorder="1" applyAlignment="1">
      <alignment wrapText="1"/>
    </xf>
    <xf numFmtId="0" fontId="31" fillId="17" borderId="41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right" wrapText="1"/>
    </xf>
    <xf numFmtId="0" fontId="17" fillId="0" borderId="23" xfId="0" applyFont="1" applyBorder="1" applyAlignment="1">
      <alignment horizontal="right" wrapText="1"/>
    </xf>
    <xf numFmtId="0" fontId="32" fillId="14" borderId="6" xfId="0" applyFont="1" applyFill="1" applyBorder="1" applyAlignment="1">
      <alignment horizontal="center" wrapText="1"/>
    </xf>
    <xf numFmtId="0" fontId="17" fillId="0" borderId="50" xfId="0" applyFont="1" applyBorder="1" applyAlignment="1">
      <alignment wrapText="1"/>
    </xf>
    <xf numFmtId="0" fontId="25" fillId="0" borderId="19" xfId="0" applyFont="1" applyBorder="1" applyAlignment="1">
      <alignment horizontal="left" wrapText="1"/>
    </xf>
    <xf numFmtId="0" fontId="64" fillId="14" borderId="20" xfId="0" applyFont="1" applyFill="1" applyBorder="1" applyAlignment="1">
      <alignment horizontal="center" wrapText="1"/>
    </xf>
    <xf numFmtId="0" fontId="30" fillId="0" borderId="46" xfId="0" applyFont="1" applyBorder="1" applyAlignment="1">
      <alignment wrapText="1"/>
    </xf>
    <xf numFmtId="0" fontId="64" fillId="14" borderId="5" xfId="0" applyFont="1" applyFill="1" applyBorder="1" applyAlignment="1">
      <alignment horizontal="center" wrapText="1"/>
    </xf>
    <xf numFmtId="0" fontId="32" fillId="14" borderId="5" xfId="0" applyFont="1" applyFill="1" applyBorder="1" applyAlignment="1">
      <alignment horizontal="center" wrapText="1"/>
    </xf>
    <xf numFmtId="0" fontId="32" fillId="14" borderId="7" xfId="0" applyFont="1" applyFill="1" applyBorder="1" applyAlignment="1">
      <alignment horizontal="center" wrapText="1"/>
    </xf>
    <xf numFmtId="166" fontId="17" fillId="0" borderId="20" xfId="0" applyNumberFormat="1" applyFont="1" applyBorder="1" applyAlignment="1">
      <alignment horizontal="center" wrapText="1"/>
    </xf>
    <xf numFmtId="0" fontId="17" fillId="17" borderId="0" xfId="0" applyFont="1" applyFill="1" applyBorder="1"/>
    <xf numFmtId="2" fontId="56" fillId="17" borderId="0" xfId="0" applyNumberFormat="1" applyFont="1" applyFill="1" applyBorder="1"/>
    <xf numFmtId="0" fontId="17" fillId="0" borderId="0" xfId="0" applyFont="1" applyBorder="1" applyAlignment="1">
      <alignment horizontal="center" wrapText="1"/>
    </xf>
    <xf numFmtId="0" fontId="17" fillId="0" borderId="33" xfId="0" applyFont="1" applyBorder="1" applyAlignment="1">
      <alignment wrapText="1"/>
    </xf>
    <xf numFmtId="2" fontId="17" fillId="0" borderId="15" xfId="0" applyNumberFormat="1" applyFont="1" applyBorder="1" applyAlignment="1">
      <alignment horizontal="center" wrapText="1"/>
    </xf>
    <xf numFmtId="3" fontId="32" fillId="0" borderId="15" xfId="0" applyNumberFormat="1" applyFont="1" applyBorder="1" applyAlignment="1">
      <alignment horizontal="center" wrapText="1"/>
    </xf>
    <xf numFmtId="3" fontId="32" fillId="0" borderId="33" xfId="0" applyNumberFormat="1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167" fontId="17" fillId="0" borderId="36" xfId="0" applyNumberFormat="1" applyFont="1" applyBorder="1" applyAlignment="1">
      <alignment horizontal="center" wrapText="1"/>
    </xf>
    <xf numFmtId="0" fontId="25" fillId="0" borderId="16" xfId="0" applyFont="1" applyBorder="1" applyAlignment="1">
      <alignment wrapText="1"/>
    </xf>
    <xf numFmtId="0" fontId="40" fillId="14" borderId="6" xfId="0" applyFont="1" applyFill="1" applyBorder="1" applyAlignment="1">
      <alignment horizontal="center" wrapText="1"/>
    </xf>
    <xf numFmtId="3" fontId="67" fillId="0" borderId="4" xfId="0" applyNumberFormat="1" applyFont="1" applyBorder="1" applyAlignment="1">
      <alignment horizontal="center" wrapText="1"/>
    </xf>
    <xf numFmtId="165" fontId="18" fillId="2" borderId="4" xfId="0" applyNumberFormat="1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wrapText="1"/>
    </xf>
    <xf numFmtId="0" fontId="65" fillId="11" borderId="16" xfId="0" applyFont="1" applyFill="1" applyBorder="1" applyAlignment="1">
      <alignment wrapText="1"/>
    </xf>
    <xf numFmtId="0" fontId="19" fillId="0" borderId="15" xfId="0" applyFont="1" applyBorder="1" applyAlignment="1">
      <alignment horizontal="center" wrapText="1"/>
    </xf>
    <xf numFmtId="3" fontId="20" fillId="13" borderId="56" xfId="0" applyNumberFormat="1" applyFont="1" applyFill="1" applyBorder="1" applyAlignment="1">
      <alignment horizontal="center" wrapText="1"/>
    </xf>
    <xf numFmtId="0" fontId="17" fillId="23" borderId="0" xfId="0" applyFont="1" applyFill="1" applyAlignment="1">
      <alignment wrapText="1"/>
    </xf>
    <xf numFmtId="0" fontId="17" fillId="7" borderId="0" xfId="0" applyFont="1" applyFill="1" applyAlignment="1">
      <alignment wrapText="1"/>
    </xf>
    <xf numFmtId="0" fontId="17" fillId="25" borderId="0" xfId="0" applyFont="1" applyFill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37" xfId="0" applyFont="1" applyBorder="1" applyAlignment="1">
      <alignment wrapText="1"/>
    </xf>
    <xf numFmtId="0" fontId="1" fillId="0" borderId="15" xfId="0" applyFont="1" applyBorder="1" applyAlignment="1">
      <alignment horizontal="left" wrapText="1"/>
    </xf>
    <xf numFmtId="0" fontId="69" fillId="0" borderId="0" xfId="33" applyFont="1" applyAlignment="1" applyProtection="1"/>
    <xf numFmtId="0" fontId="70" fillId="0" borderId="0" xfId="0" applyFont="1"/>
    <xf numFmtId="0" fontId="17" fillId="0" borderId="0" xfId="0" applyFont="1" applyAlignment="1"/>
    <xf numFmtId="9" fontId="0" fillId="0" borderId="0" xfId="13" applyFont="1" applyAlignment="1">
      <alignment wrapText="1"/>
    </xf>
    <xf numFmtId="170" fontId="0" fillId="0" borderId="0" xfId="13" applyNumberFormat="1" applyFont="1" applyAlignment="1">
      <alignment wrapText="1"/>
    </xf>
    <xf numFmtId="4" fontId="2" fillId="0" borderId="4" xfId="0" applyNumberFormat="1" applyFont="1" applyBorder="1" applyAlignment="1">
      <alignment horizontal="center" wrapText="1"/>
    </xf>
    <xf numFmtId="168" fontId="2" fillId="0" borderId="4" xfId="0" applyNumberFormat="1" applyFont="1" applyBorder="1" applyAlignment="1">
      <alignment horizontal="center" wrapText="1"/>
    </xf>
    <xf numFmtId="170" fontId="2" fillId="0" borderId="4" xfId="13" applyNumberFormat="1" applyFont="1" applyBorder="1" applyAlignment="1">
      <alignment horizontal="center" wrapText="1"/>
    </xf>
    <xf numFmtId="170" fontId="20" fillId="8" borderId="0" xfId="13" applyNumberFormat="1" applyFont="1" applyFill="1" applyBorder="1" applyAlignment="1">
      <alignment horizontal="center" wrapText="1"/>
    </xf>
    <xf numFmtId="2" fontId="2" fillId="24" borderId="4" xfId="0" applyNumberFormat="1" applyFont="1" applyFill="1" applyBorder="1" applyAlignment="1">
      <alignment horizontal="center" wrapText="1"/>
    </xf>
    <xf numFmtId="165" fontId="46" fillId="21" borderId="4" xfId="0" applyNumberFormat="1" applyFont="1" applyFill="1" applyBorder="1" applyAlignment="1">
      <alignment horizontal="center" wrapText="1"/>
    </xf>
    <xf numFmtId="165" fontId="26" fillId="2" borderId="4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>
      <alignment wrapText="1"/>
    </xf>
    <xf numFmtId="165" fontId="72" fillId="21" borderId="4" xfId="0" applyNumberFormat="1" applyFont="1" applyFill="1" applyBorder="1" applyAlignment="1">
      <alignment horizontal="center" wrapText="1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left" wrapText="1"/>
    </xf>
    <xf numFmtId="0" fontId="0" fillId="0" borderId="31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30" fillId="0" borderId="4" xfId="0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11" borderId="31" xfId="0" applyFont="1" applyFill="1" applyBorder="1" applyAlignment="1">
      <alignment horizontal="center" wrapText="1"/>
    </xf>
    <xf numFmtId="0" fontId="1" fillId="18" borderId="31" xfId="0" applyFont="1" applyFill="1" applyBorder="1" applyAlignment="1">
      <alignment horizontal="center" wrapText="1"/>
    </xf>
    <xf numFmtId="0" fontId="1" fillId="18" borderId="9" xfId="0" applyFont="1" applyFill="1" applyBorder="1" applyAlignment="1">
      <alignment horizontal="center" wrapText="1"/>
    </xf>
    <xf numFmtId="0" fontId="57" fillId="0" borderId="4" xfId="0" applyFont="1" applyBorder="1" applyAlignment="1">
      <alignment horizontal="left" vertical="center" wrapText="1"/>
    </xf>
    <xf numFmtId="0" fontId="30" fillId="0" borderId="31" xfId="0" applyFont="1" applyBorder="1" applyAlignment="1">
      <alignment horizontal="left" wrapText="1"/>
    </xf>
    <xf numFmtId="0" fontId="30" fillId="0" borderId="9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11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35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1" fillId="5" borderId="4" xfId="0" applyFont="1" applyFill="1" applyBorder="1" applyAlignment="1">
      <alignment horizontal="center" wrapText="1"/>
    </xf>
    <xf numFmtId="0" fontId="1" fillId="20" borderId="11" xfId="0" applyFont="1" applyFill="1" applyBorder="1" applyAlignment="1">
      <alignment horizontal="center" wrapText="1"/>
    </xf>
    <xf numFmtId="0" fontId="1" fillId="20" borderId="31" xfId="0" applyFont="1" applyFill="1" applyBorder="1" applyAlignment="1">
      <alignment horizontal="center" wrapText="1"/>
    </xf>
    <xf numFmtId="0" fontId="1" fillId="20" borderId="9" xfId="0" applyFont="1" applyFill="1" applyBorder="1" applyAlignment="1">
      <alignment horizontal="center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5" xfId="0" applyFont="1" applyBorder="1" applyAlignment="1">
      <alignment horizontal="left" wrapText="1"/>
    </xf>
    <xf numFmtId="0" fontId="1" fillId="19" borderId="4" xfId="0" applyFont="1" applyFill="1" applyBorder="1" applyAlignment="1">
      <alignment horizontal="center" wrapText="1"/>
    </xf>
    <xf numFmtId="0" fontId="1" fillId="22" borderId="11" xfId="0" applyFont="1" applyFill="1" applyBorder="1" applyAlignment="1">
      <alignment horizontal="center" wrapText="1"/>
    </xf>
    <xf numFmtId="0" fontId="1" fillId="22" borderId="31" xfId="0" applyFont="1" applyFill="1" applyBorder="1" applyAlignment="1">
      <alignment horizontal="center" wrapText="1"/>
    </xf>
    <xf numFmtId="0" fontId="1" fillId="22" borderId="9" xfId="0" applyFont="1" applyFill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30" fillId="0" borderId="31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57" fillId="0" borderId="11" xfId="0" applyFont="1" applyBorder="1" applyAlignment="1">
      <alignment horizontal="left" wrapText="1"/>
    </xf>
    <xf numFmtId="0" fontId="57" fillId="0" borderId="31" xfId="0" applyFont="1" applyBorder="1" applyAlignment="1">
      <alignment horizontal="left" wrapText="1"/>
    </xf>
    <xf numFmtId="0" fontId="57" fillId="0" borderId="9" xfId="0" applyFont="1" applyBorder="1" applyAlignment="1">
      <alignment horizontal="left" wrapText="1"/>
    </xf>
    <xf numFmtId="0" fontId="30" fillId="0" borderId="22" xfId="0" applyFont="1" applyBorder="1" applyAlignment="1">
      <alignment horizontal="center" wrapText="1"/>
    </xf>
    <xf numFmtId="0" fontId="30" fillId="0" borderId="24" xfId="0" applyFont="1" applyBorder="1" applyAlignment="1">
      <alignment horizontal="center" wrapText="1"/>
    </xf>
    <xf numFmtId="0" fontId="30" fillId="0" borderId="21" xfId="0" applyFont="1" applyBorder="1" applyAlignment="1">
      <alignment horizontal="center" wrapText="1"/>
    </xf>
    <xf numFmtId="0" fontId="30" fillId="0" borderId="25" xfId="0" applyFont="1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0" fontId="29" fillId="0" borderId="31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71" fillId="21" borderId="22" xfId="0" applyFont="1" applyFill="1" applyBorder="1" applyAlignment="1">
      <alignment horizontal="center" wrapText="1"/>
    </xf>
    <xf numFmtId="0" fontId="71" fillId="21" borderId="34" xfId="0" applyFont="1" applyFill="1" applyBorder="1" applyAlignment="1">
      <alignment horizontal="center" wrapText="1"/>
    </xf>
    <xf numFmtId="0" fontId="68" fillId="21" borderId="22" xfId="0" applyFont="1" applyFill="1" applyBorder="1" applyAlignment="1">
      <alignment horizontal="center" wrapText="1"/>
    </xf>
    <xf numFmtId="0" fontId="68" fillId="21" borderId="21" xfId="0" applyFont="1" applyFill="1" applyBorder="1" applyAlignment="1">
      <alignment horizontal="center" wrapText="1"/>
    </xf>
    <xf numFmtId="1" fontId="20" fillId="8" borderId="34" xfId="0" applyNumberFormat="1" applyFont="1" applyFill="1" applyBorder="1" applyAlignment="1">
      <alignment horizontal="center" wrapText="1"/>
    </xf>
    <xf numFmtId="1" fontId="20" fillId="8" borderId="0" xfId="0" applyNumberFormat="1" applyFont="1" applyFill="1" applyBorder="1" applyAlignment="1">
      <alignment horizontal="center" wrapText="1"/>
    </xf>
    <xf numFmtId="0" fontId="30" fillId="0" borderId="11" xfId="0" applyFont="1" applyBorder="1" applyAlignment="1">
      <alignment horizontal="left" wrapText="1"/>
    </xf>
    <xf numFmtId="0" fontId="41" fillId="12" borderId="31" xfId="0" applyFont="1" applyFill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" fillId="13" borderId="14" xfId="0" applyFont="1" applyFill="1" applyBorder="1" applyAlignment="1">
      <alignment horizontal="right" wrapText="1"/>
    </xf>
    <xf numFmtId="0" fontId="1" fillId="13" borderId="13" xfId="0" applyFont="1" applyFill="1" applyBorder="1" applyAlignment="1">
      <alignment horizontal="right" wrapText="1"/>
    </xf>
    <xf numFmtId="0" fontId="1" fillId="13" borderId="38" xfId="0" applyFont="1" applyFill="1" applyBorder="1" applyAlignment="1">
      <alignment horizontal="right" wrapText="1"/>
    </xf>
    <xf numFmtId="0" fontId="41" fillId="0" borderId="40" xfId="0" applyFont="1" applyBorder="1" applyAlignment="1">
      <alignment horizontal="right" wrapText="1"/>
    </xf>
    <xf numFmtId="0" fontId="41" fillId="0" borderId="44" xfId="0" applyFont="1" applyBorder="1" applyAlignment="1">
      <alignment horizontal="right" wrapText="1"/>
    </xf>
    <xf numFmtId="0" fontId="41" fillId="0" borderId="48" xfId="0" applyFont="1" applyBorder="1" applyAlignment="1">
      <alignment horizontal="right" wrapText="1"/>
    </xf>
    <xf numFmtId="0" fontId="41" fillId="0" borderId="11" xfId="0" applyFont="1" applyBorder="1" applyAlignment="1">
      <alignment horizontal="right" wrapText="1"/>
    </xf>
    <xf numFmtId="0" fontId="41" fillId="0" borderId="31" xfId="0" applyFont="1" applyBorder="1" applyAlignment="1">
      <alignment horizontal="right" wrapText="1"/>
    </xf>
    <xf numFmtId="0" fontId="41" fillId="0" borderId="9" xfId="0" applyFont="1" applyBorder="1" applyAlignment="1">
      <alignment horizontal="right" wrapText="1"/>
    </xf>
    <xf numFmtId="0" fontId="0" fillId="2" borderId="2" xfId="20" applyFont="1" applyFill="1" applyBorder="1" applyAlignment="1">
      <alignment wrapText="1"/>
    </xf>
    <xf numFmtId="0" fontId="10" fillId="2" borderId="2" xfId="20" applyFont="1" applyFill="1" applyBorder="1" applyAlignment="1">
      <alignment wrapText="1"/>
    </xf>
    <xf numFmtId="0" fontId="35" fillId="0" borderId="4" xfId="0" applyFont="1" applyBorder="1" applyAlignment="1">
      <alignment vertical="center" wrapText="1"/>
    </xf>
    <xf numFmtId="0" fontId="30" fillId="0" borderId="43" xfId="0" applyFont="1" applyBorder="1" applyAlignment="1">
      <alignment horizontal="center" wrapText="1"/>
    </xf>
    <xf numFmtId="0" fontId="30" fillId="0" borderId="57" xfId="0" applyFont="1" applyBorder="1" applyAlignment="1">
      <alignment horizontal="center" wrapText="1"/>
    </xf>
    <xf numFmtId="0" fontId="30" fillId="0" borderId="20" xfId="0" applyFont="1" applyBorder="1" applyAlignment="1">
      <alignment horizontal="center" wrapText="1"/>
    </xf>
    <xf numFmtId="0" fontId="30" fillId="0" borderId="40" xfId="0" applyFont="1" applyBorder="1" applyAlignment="1">
      <alignment horizontal="center" wrapText="1"/>
    </xf>
    <xf numFmtId="0" fontId="30" fillId="0" borderId="46" xfId="0" applyFont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1" fillId="0" borderId="15" xfId="0" applyFont="1" applyBorder="1" applyAlignment="1">
      <alignment horizontal="left" wrapText="1"/>
    </xf>
    <xf numFmtId="0" fontId="41" fillId="0" borderId="37" xfId="0" applyFont="1" applyBorder="1" applyAlignment="1">
      <alignment horizontal="right" wrapText="1"/>
    </xf>
    <xf numFmtId="0" fontId="41" fillId="0" borderId="61" xfId="0" applyFont="1" applyBorder="1" applyAlignment="1">
      <alignment horizontal="right" wrapText="1"/>
    </xf>
    <xf numFmtId="0" fontId="41" fillId="0" borderId="50" xfId="0" applyFont="1" applyBorder="1" applyAlignment="1">
      <alignment horizontal="right" wrapText="1"/>
    </xf>
    <xf numFmtId="0" fontId="25" fillId="0" borderId="28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  <xf numFmtId="0" fontId="25" fillId="0" borderId="23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59" fillId="4" borderId="1" xfId="25" applyFont="1" applyFill="1" applyBorder="1" applyAlignment="1">
      <alignment horizontal="center" vertical="center"/>
    </xf>
    <xf numFmtId="0" fontId="53" fillId="4" borderId="39" xfId="25" applyFont="1" applyFill="1" applyBorder="1" applyAlignment="1">
      <alignment horizontal="center" vertical="center"/>
    </xf>
    <xf numFmtId="0" fontId="59" fillId="4" borderId="47" xfId="25" applyFont="1" applyFill="1" applyBorder="1" applyAlignment="1">
      <alignment horizontal="center" vertical="top"/>
    </xf>
    <xf numFmtId="0" fontId="59" fillId="4" borderId="44" xfId="25" applyFont="1" applyFill="1" applyBorder="1" applyAlignment="1">
      <alignment horizontal="center" vertical="top"/>
    </xf>
    <xf numFmtId="0" fontId="59" fillId="4" borderId="45" xfId="25" applyFont="1" applyFill="1" applyBorder="1" applyAlignment="1">
      <alignment horizontal="center" vertical="top"/>
    </xf>
    <xf numFmtId="0" fontId="21" fillId="26" borderId="10" xfId="0" applyFont="1" applyFill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49" fillId="26" borderId="10" xfId="33" applyFont="1" applyFill="1" applyBorder="1" applyAlignment="1" applyProtection="1">
      <alignment horizontal="center"/>
    </xf>
    <xf numFmtId="0" fontId="30" fillId="0" borderId="15" xfId="0" applyFont="1" applyBorder="1" applyAlignment="1">
      <alignment horizontal="left" wrapText="1"/>
    </xf>
    <xf numFmtId="0" fontId="20" fillId="0" borderId="15" xfId="0" applyFont="1" applyBorder="1" applyAlignment="1">
      <alignment horizontal="center" wrapText="1"/>
    </xf>
    <xf numFmtId="0" fontId="1" fillId="11" borderId="29" xfId="0" applyFont="1" applyFill="1" applyBorder="1" applyAlignment="1">
      <alignment horizontal="center" wrapText="1"/>
    </xf>
    <xf numFmtId="0" fontId="1" fillId="11" borderId="25" xfId="0" applyFont="1" applyFill="1" applyBorder="1" applyAlignment="1">
      <alignment horizontal="center" wrapText="1"/>
    </xf>
    <xf numFmtId="0" fontId="23" fillId="26" borderId="17" xfId="33" applyFont="1" applyFill="1" applyBorder="1" applyAlignment="1" applyProtection="1">
      <alignment horizontal="left" wrapText="1"/>
    </xf>
    <xf numFmtId="0" fontId="23" fillId="26" borderId="18" xfId="33" applyFont="1" applyFill="1" applyBorder="1" applyAlignment="1" applyProtection="1">
      <alignment horizontal="left" wrapText="1"/>
    </xf>
    <xf numFmtId="0" fontId="23" fillId="26" borderId="56" xfId="33" applyFont="1" applyFill="1" applyBorder="1" applyAlignment="1" applyProtection="1">
      <alignment horizontal="left" wrapText="1"/>
    </xf>
    <xf numFmtId="0" fontId="1" fillId="11" borderId="33" xfId="0" applyFont="1" applyFill="1" applyBorder="1" applyAlignment="1">
      <alignment wrapText="1"/>
    </xf>
    <xf numFmtId="0" fontId="58" fillId="26" borderId="10" xfId="0" applyFont="1" applyFill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41" fillId="12" borderId="24" xfId="0" applyFont="1" applyFill="1" applyBorder="1" applyAlignment="1">
      <alignment horizontal="center" wrapText="1"/>
    </xf>
    <xf numFmtId="0" fontId="1" fillId="12" borderId="15" xfId="0" applyFont="1" applyFill="1" applyBorder="1" applyAlignment="1">
      <alignment wrapText="1"/>
    </xf>
    <xf numFmtId="0" fontId="30" fillId="0" borderId="25" xfId="0" applyFont="1" applyBorder="1" applyAlignment="1">
      <alignment horizontal="left" wrapText="1"/>
    </xf>
    <xf numFmtId="0" fontId="26" fillId="2" borderId="16" xfId="0" applyFont="1" applyFill="1" applyBorder="1" applyAlignment="1">
      <alignment horizontal="center" wrapText="1"/>
    </xf>
    <xf numFmtId="0" fontId="23" fillId="26" borderId="14" xfId="0" applyFont="1" applyFill="1" applyBorder="1" applyAlignment="1">
      <alignment horizontal="center" wrapText="1"/>
    </xf>
    <xf numFmtId="0" fontId="23" fillId="26" borderId="12" xfId="0" applyFont="1" applyFill="1" applyBorder="1" applyAlignment="1">
      <alignment horizontal="center" wrapText="1"/>
    </xf>
    <xf numFmtId="0" fontId="0" fillId="0" borderId="15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center" wrapText="1"/>
    </xf>
    <xf numFmtId="0" fontId="46" fillId="21" borderId="34" xfId="0" applyFont="1" applyFill="1" applyBorder="1" applyAlignment="1">
      <alignment horizontal="center" wrapText="1"/>
    </xf>
    <xf numFmtId="0" fontId="46" fillId="21" borderId="0" xfId="0" applyFont="1" applyFill="1" applyBorder="1" applyAlignment="1">
      <alignment horizontal="center" wrapText="1"/>
    </xf>
    <xf numFmtId="4" fontId="73" fillId="27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0" fontId="57" fillId="0" borderId="4" xfId="11" applyFont="1" applyBorder="1" applyAlignment="1">
      <alignment horizontal="center" vertical="center" wrapText="1"/>
    </xf>
    <xf numFmtId="0" fontId="57" fillId="0" borderId="4" xfId="11" applyFont="1" applyBorder="1" applyAlignment="1">
      <alignment horizontal="left" wrapText="1"/>
    </xf>
    <xf numFmtId="4" fontId="2" fillId="0" borderId="15" xfId="0" applyNumberFormat="1" applyFont="1" applyBorder="1" applyAlignment="1">
      <alignment horizontal="center" wrapText="1"/>
    </xf>
    <xf numFmtId="3" fontId="24" fillId="0" borderId="4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</cellXfs>
  <cellStyles count="34">
    <cellStyle name="Excel Built-in Normal 2" xfId="15"/>
    <cellStyle name="Normal 2" xfId="4"/>
    <cellStyle name="Normal_97.05.22_1" xfId="5"/>
    <cellStyle name="Відсотковий 2" xfId="6"/>
    <cellStyle name="Гиперссылка 2" xfId="7"/>
    <cellStyle name="Гиперссылка 2 2" xfId="24"/>
    <cellStyle name="Гиперссылка 3" xfId="8"/>
    <cellStyle name="Гиперссылка 3 2" xfId="29"/>
    <cellStyle name="Гиперссылка 4" xfId="23"/>
    <cellStyle name="Гиперссылка 5" xfId="33"/>
    <cellStyle name="Звичайний 2" xfId="1"/>
    <cellStyle name="Звичайний 2 2" xfId="9"/>
    <cellStyle name="Звичайний 3" xfId="10"/>
    <cellStyle name="Обычный" xfId="0" builtinId="0"/>
    <cellStyle name="Обычный 11" xfId="19"/>
    <cellStyle name="Обычный 2" xfId="2"/>
    <cellStyle name="Обычный 2 15" xfId="30"/>
    <cellStyle name="Обычный 2 2" xfId="3"/>
    <cellStyle name="Обычный 2 2 2" xfId="22"/>
    <cellStyle name="Обычный 2 2 3" xfId="25"/>
    <cellStyle name="Обычный 2 4" xfId="20"/>
    <cellStyle name="Обычный 3" xfId="11"/>
    <cellStyle name="Обычный 4" xfId="31"/>
    <cellStyle name="Обычный 5" xfId="32"/>
    <cellStyle name="Обычный 6" xfId="17"/>
    <cellStyle name="Обычный 9" xfId="27"/>
    <cellStyle name="Процентный" xfId="13" builtinId="5"/>
    <cellStyle name="Процентный 2" xfId="16"/>
    <cellStyle name="Процентный 2 3" xfId="21"/>
    <cellStyle name="Процентный 3" xfId="26"/>
    <cellStyle name="Процентный 7" xfId="28"/>
    <cellStyle name="Финансовый 2" xfId="12"/>
    <cellStyle name="Финансовый 3" xfId="14"/>
    <cellStyle name="Финансовый 4" xfId="18"/>
  </cellStyles>
  <dxfs count="11">
    <dxf>
      <fill>
        <patternFill>
          <bgColor rgb="FFFF66CC"/>
        </patternFill>
      </fill>
    </dxf>
    <dxf>
      <fill>
        <patternFill>
          <bgColor rgb="FFFF66CC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4.9989318521683403E-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009900"/>
      <color rgb="FF0033CC"/>
      <color rgb="FF0000FF"/>
      <color rgb="FFFFFF99"/>
      <color rgb="FFFF66CC"/>
      <color rgb="FF00FFFF"/>
      <color rgb="FF993366"/>
      <color rgb="FF00FF00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3</xdr:row>
      <xdr:rowOff>76201</xdr:rowOff>
    </xdr:from>
    <xdr:to>
      <xdr:col>9</xdr:col>
      <xdr:colOff>581025</xdr:colOff>
      <xdr:row>44</xdr:row>
      <xdr:rowOff>60719</xdr:rowOff>
    </xdr:to>
    <xdr:pic>
      <xdr:nvPicPr>
        <xdr:cNvPr id="2" name="Рисунок 1" descr="https://saee.gov.ua/sites/default/files/blocks/Oprylyudnennya%20III%20kv%202022-3%20os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47701"/>
          <a:ext cx="5514975" cy="779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2\SYS\PROJECTS\94002\1150\1150-32-S-001Rev%20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PROJECTS%20RH%20OLD\9X4569%20ShinEstu%20Estimate\'9X4569-G-11170-100-0%20Estimate%20Class2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RAMAR\DOCS-NTC_BM\8_DH%20PROJECTS\First%20Climate-%20Vinnitsa%20DH%20project\&#1056;&#1072;&#1073;&#1086;&#1095;&#1080;&#1077;%20&#1076;&#1086;&#1082;&#1091;&#1084;&#1077;&#1085;&#1090;&#1099;\Rough%20dynamic%20cost%20calculation%202011-2015_rs-12_05_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4;&#1041;&#1065;&#1048;&#1045;%20&#1044;&#1054;&#1050;&#1059;&#1052;&#1045;&#1053;&#1058;&#1067;%202014\&#1059;&#1055;&#1056;&#1040;&#1042;&#1051;&#1030;&#1053;&#1053;&#1071;%20&#1060;&#1054;&#1056;&#1052;&#1059;&#1042;&#1040;&#1053;&#1053;&#1071;%20&#1058;&#1040;&#1056;&#1048;&#1060;&#1030;&#1042;\&#1041;&#1040;&#1047;&#1048;%20&#1044;&#1040;&#1053;&#1048;&#1061;\&#1050;&#1054;&#1056;&#1048;&#1043;&#1059;&#1042;&#1040;&#1053;&#1053;&#1071;%20&#1058;&#1040;&#1056;&#1048;&#1060;&#1030;&#1042;%20&#1041;&#1070;&#1044;&#1046;&#1045;&#1058;%20&#1030;&#1053;&#1064;&#1030;\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XLS_M\Most%20developed%20files\++Model_V1.1Report_Zapor_BH_ABSTRACT+90proc_gas_V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&#1040;&#1076;&#1084;&#1080;&#1085;&#1080;&#1089;&#1090;&#1088;&#1072;&#1090;&#1086;&#1088;\&#1056;&#1072;&#1073;&#1086;&#1095;&#1080;&#1081;%20&#1089;&#1090;&#1086;&#1083;\&#1050;&#1086;&#1087;&#1080;&#1103;%20Xl0000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SUMMARY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Data"/>
      <sheetName val="GeneralData2"/>
      <sheetName val="Basic"/>
      <sheetName val="EnginCheckEdB"/>
      <sheetName val="HO  check"/>
      <sheetName val="Sheet1"/>
      <sheetName val="SummaryALL"/>
      <sheetName val="SummaryAREA10"/>
      <sheetName val="Contingency"/>
      <sheetName val="SummaryAREA11"/>
      <sheetName val="SummaryAREA12"/>
      <sheetName val="SummaryAREA99"/>
      <sheetName val="CHECK"/>
      <sheetName val="Details"/>
      <sheetName val="Equipment classification list"/>
      <sheetName val="INSTR EST"/>
      <sheetName val="INSTR EST check 10% add instr"/>
      <sheetName val="ELECTR EST"/>
      <sheetName val="ELECTR BU"/>
      <sheetName val="CSA"/>
      <sheetName val="FWBS21"/>
      <sheetName val="Tables"/>
      <sheetName val="Anal"/>
      <sheetName val="Anal (2)"/>
    </sheetNames>
    <sheetDataSet>
      <sheetData sheetId="0">
        <row r="2">
          <cell r="C2" t="str">
            <v>Cost Estimate Class 2</v>
          </cell>
        </row>
        <row r="3">
          <cell r="C3" t="str">
            <v>OXY AB Replacement</v>
          </cell>
        </row>
        <row r="4">
          <cell r="C4" t="str">
            <v/>
          </cell>
        </row>
        <row r="6">
          <cell r="C6" t="str">
            <v>Rotterdam</v>
          </cell>
        </row>
        <row r="7">
          <cell r="C7" t="str">
            <v>Shin Etsu</v>
          </cell>
        </row>
        <row r="8">
          <cell r="C8" t="str">
            <v>9X4569.02</v>
          </cell>
        </row>
        <row r="9">
          <cell r="C9" t="str">
            <v>9X4568-G-11170-010</v>
          </cell>
        </row>
        <row r="10">
          <cell r="C10">
            <v>0</v>
          </cell>
        </row>
        <row r="11">
          <cell r="C11" t="str">
            <v>for comment</v>
          </cell>
        </row>
        <row r="12">
          <cell r="C12">
            <v>42073.666316435185</v>
          </cell>
        </row>
        <row r="13">
          <cell r="C13" t="str">
            <v>DBO</v>
          </cell>
        </row>
        <row r="21">
          <cell r="C21">
            <v>0.1</v>
          </cell>
        </row>
        <row r="22">
          <cell r="C2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Energy saving"/>
      <sheetName val="Investm"/>
      <sheetName val="Gas price"/>
      <sheetName val="Electr_price"/>
      <sheetName val="Salary"/>
      <sheetName val="water_price"/>
      <sheetName val="ES 2008-2012"/>
      <sheetName val="Prod 2005-2009"/>
      <sheetName val="Prod 2010"/>
      <sheetName val="Quest_2"/>
      <sheetName val="Econ_Val"/>
    </sheetNames>
    <sheetDataSet>
      <sheetData sheetId="0"/>
      <sheetData sheetId="1"/>
      <sheetData sheetId="2"/>
      <sheetData sheetId="3"/>
      <sheetData sheetId="4">
        <row r="4">
          <cell r="K4" t="str">
            <v>UA</v>
          </cell>
        </row>
        <row r="5">
          <cell r="K5" t="str">
            <v>RU</v>
          </cell>
        </row>
        <row r="6">
          <cell r="K6" t="str">
            <v>EN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"/>
      <sheetName val="Рез"/>
      <sheetName val="Gasprice_raise"/>
      <sheetName val="bidding_3"/>
      <sheetName val="Кот_MTM"/>
      <sheetName val="Reserv"/>
      <sheetName val="Х-ки проектів"/>
      <sheetName val="Опис пр-тів"/>
      <sheetName val="Тар_Заг"/>
      <sheetName val="Тар_Нас"/>
      <sheetName val="Тар_інш"/>
      <sheetName val="BH-Gen"/>
      <sheetName val="DH Netw"/>
      <sheetName val="data_1"/>
      <sheetName val="Д-2014"/>
      <sheetName val="Employees"/>
      <sheetName val="чиспрац"/>
      <sheetName val="ее"/>
      <sheetName val="Ціна БМ котельні"/>
      <sheetName val="Ц_газу"/>
      <sheetName val="Ц_газ_прош"/>
      <sheetName val="H_S_Durat+instr"/>
      <sheetName val="Reserv_approach"/>
      <sheetName val="Пор_таб"/>
      <sheetName val="HowmuchBH"/>
      <sheetName val="Zhyt"/>
      <sheetName val="Vinn"/>
      <sheetName val="Lviv"/>
      <sheetName val="I-Fr"/>
      <sheetName val="Kam-Pod"/>
      <sheetName val="Polt"/>
      <sheetName val="Dnepr"/>
      <sheetName val="Dn-Dz"/>
      <sheetName val="Kr_Rig"/>
      <sheetName val="Oleks"/>
      <sheetName val="Sevdon"/>
      <sheetName val="Rivne"/>
      <sheetName val="Kharkiv"/>
      <sheetName val="Міс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бота котелень"/>
      <sheetName val="ІНФ.МЕРЕЖІ"/>
      <sheetName val="ІНФ. КОТЛИ"/>
      <sheetName val="вент"/>
      <sheetName val="димососи"/>
      <sheetName val="насоси рец або жив"/>
      <sheetName val="насоси кот"/>
    </sheetNames>
    <sheetDataSet>
      <sheetData sheetId="0"/>
      <sheetData sheetId="1"/>
      <sheetData sheetId="2">
        <row r="8">
          <cell r="AF8" t="str">
            <v>вид палива</v>
          </cell>
        </row>
        <row r="9">
          <cell r="AF9" t="str">
            <v>газ</v>
          </cell>
        </row>
        <row r="10">
          <cell r="AF10" t="str">
            <v>вугілля кам'яне</v>
          </cell>
        </row>
        <row r="11">
          <cell r="AF11" t="str">
            <v>вугілля буре</v>
          </cell>
        </row>
        <row r="12">
          <cell r="AF12" t="str">
            <v>мазут</v>
          </cell>
        </row>
        <row r="13">
          <cell r="AF13" t="str">
            <v>електроенергія</v>
          </cell>
        </row>
        <row r="14">
          <cell r="AF14" t="str">
            <v>інше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dropbox.com/sh/wkqix7yyphh7ikf/AABUjoVZY0upPcyn_MJiSIDVa?dl=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minregion.gov.ua/wp-content/uploads/2022/02/taryfy-na-poslugu-z-teplopostachannya-na-01.01.2022.xlsx" TargetMode="External"/><Relationship Id="rId1" Type="http://schemas.openxmlformats.org/officeDocument/2006/relationships/hyperlink" Target="https://saee.gov.ua/uk/content/serednozvazheni-taryf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00"/>
  </sheetPr>
  <dimension ref="A1:J96"/>
  <sheetViews>
    <sheetView tabSelected="1" topLeftCell="A79" zoomScale="90" zoomScaleNormal="90" workbookViewId="0">
      <selection activeCell="F87" sqref="F87"/>
    </sheetView>
  </sheetViews>
  <sheetFormatPr defaultRowHeight="15"/>
  <cols>
    <col min="1" max="1" width="26.5703125" style="40" customWidth="1"/>
    <col min="2" max="2" width="17.140625" style="40" customWidth="1"/>
    <col min="3" max="3" width="18.5703125" style="40" customWidth="1"/>
    <col min="4" max="4" width="26.140625" style="40" customWidth="1"/>
    <col min="5" max="5" width="23.42578125" style="40" customWidth="1"/>
    <col min="6" max="6" width="25.28515625" style="40" customWidth="1"/>
    <col min="7" max="7" width="11.5703125" style="40" customWidth="1"/>
    <col min="8" max="9" width="12.7109375" style="40" bestFit="1" customWidth="1"/>
    <col min="10" max="16384" width="9.140625" style="40"/>
  </cols>
  <sheetData>
    <row r="1" spans="1:7" ht="15" customHeight="1" thickBot="1">
      <c r="A1" s="249" t="s">
        <v>114</v>
      </c>
      <c r="B1" s="250"/>
      <c r="C1" s="337" t="s">
        <v>22</v>
      </c>
      <c r="D1" s="39" t="s">
        <v>115</v>
      </c>
    </row>
    <row r="2" spans="1:7">
      <c r="A2" s="251"/>
      <c r="B2" s="252"/>
      <c r="C2" s="127">
        <v>5000</v>
      </c>
      <c r="D2" s="39" t="s">
        <v>116</v>
      </c>
    </row>
    <row r="3" spans="1:7">
      <c r="A3" s="251"/>
      <c r="B3" s="252"/>
      <c r="C3" s="41">
        <v>34</v>
      </c>
      <c r="D3" s="39" t="s">
        <v>117</v>
      </c>
    </row>
    <row r="4" spans="1:7">
      <c r="A4" s="251"/>
      <c r="B4" s="252"/>
      <c r="C4" s="5">
        <v>0.8</v>
      </c>
      <c r="D4" s="39" t="s">
        <v>118</v>
      </c>
    </row>
    <row r="5" spans="1:7">
      <c r="A5" s="251"/>
      <c r="B5" s="252"/>
      <c r="C5" s="42" t="s">
        <v>119</v>
      </c>
      <c r="D5" s="39" t="s">
        <v>120</v>
      </c>
    </row>
    <row r="6" spans="1:7">
      <c r="A6" s="251"/>
      <c r="B6" s="252"/>
      <c r="C6" s="44">
        <v>30</v>
      </c>
      <c r="D6" s="39" t="s">
        <v>121</v>
      </c>
    </row>
    <row r="7" spans="1:7">
      <c r="A7" s="274" t="s">
        <v>122</v>
      </c>
      <c r="B7" s="274"/>
      <c r="C7" s="274"/>
      <c r="D7" s="274"/>
      <c r="E7" s="274"/>
      <c r="F7" s="358" t="s">
        <v>10</v>
      </c>
      <c r="G7" s="359"/>
    </row>
    <row r="8" spans="1:7">
      <c r="A8" s="248" t="s">
        <v>11</v>
      </c>
      <c r="B8" s="248"/>
      <c r="C8" s="248"/>
      <c r="D8" s="248"/>
      <c r="E8" s="43">
        <v>0.1</v>
      </c>
    </row>
    <row r="9" spans="1:7" ht="15" customHeight="1">
      <c r="A9" s="281" t="s">
        <v>196</v>
      </c>
      <c r="B9" s="282"/>
      <c r="C9" s="282"/>
      <c r="D9" s="283"/>
      <c r="E9" s="132">
        <v>37.5</v>
      </c>
    </row>
    <row r="10" spans="1:7" ht="15" customHeight="1" thickBot="1">
      <c r="A10" s="248" t="s">
        <v>84</v>
      </c>
      <c r="B10" s="248"/>
      <c r="C10" s="248"/>
      <c r="D10" s="248"/>
      <c r="E10" s="44">
        <v>15</v>
      </c>
    </row>
    <row r="11" spans="1:7" ht="17.25" customHeight="1" thickBot="1">
      <c r="A11" s="248" t="s">
        <v>123</v>
      </c>
      <c r="B11" s="248"/>
      <c r="C11" s="248"/>
      <c r="D11" s="297"/>
      <c r="E11" s="339" t="s">
        <v>22</v>
      </c>
    </row>
    <row r="12" spans="1:7" ht="15" customHeight="1">
      <c r="A12" s="248" t="s">
        <v>125</v>
      </c>
      <c r="B12" s="248"/>
      <c r="C12" s="248"/>
      <c r="D12" s="248"/>
      <c r="E12" s="338">
        <f>INDEX(Списки!$E$34:$E$59,MATCH($E$11,Списки!$A$34:$A$59,0))</f>
        <v>176</v>
      </c>
    </row>
    <row r="13" spans="1:7" ht="15" customHeight="1">
      <c r="A13" s="248" t="s">
        <v>124</v>
      </c>
      <c r="B13" s="248"/>
      <c r="C13" s="248"/>
      <c r="D13" s="248"/>
      <c r="E13" s="64">
        <f>INDEX(Списки!$D$34:$D$59,MATCH($E$11,Списки!$A$34:$A$59,0))</f>
        <v>-0.1</v>
      </c>
    </row>
    <row r="14" spans="1:7" ht="15" customHeight="1" thickBot="1">
      <c r="A14" s="248" t="s">
        <v>184</v>
      </c>
      <c r="B14" s="340"/>
      <c r="C14" s="340"/>
      <c r="D14" s="340"/>
      <c r="E14" s="341">
        <f>INDEX(Списки!$F$34:$F$59,MATCH($E$11,Списки!$A$34:$A$59,0))</f>
        <v>-22</v>
      </c>
    </row>
    <row r="15" spans="1:7" ht="29.25" customHeight="1" thickBot="1">
      <c r="A15" s="45" t="s">
        <v>162</v>
      </c>
      <c r="B15" s="344" t="s">
        <v>163</v>
      </c>
      <c r="C15" s="345"/>
      <c r="D15" s="345"/>
      <c r="E15" s="346"/>
    </row>
    <row r="16" spans="1:7" ht="33" customHeight="1" thickBot="1">
      <c r="A16" s="253" t="s">
        <v>127</v>
      </c>
      <c r="B16" s="342"/>
      <c r="C16" s="343"/>
      <c r="D16" s="347" t="s">
        <v>129</v>
      </c>
      <c r="E16" s="347" t="s">
        <v>130</v>
      </c>
    </row>
    <row r="17" spans="1:10" ht="24.75" customHeight="1" thickBot="1">
      <c r="A17" s="259" t="s">
        <v>60</v>
      </c>
      <c r="B17" s="259"/>
      <c r="C17" s="244" t="s">
        <v>187</v>
      </c>
      <c r="D17" s="348" t="s">
        <v>104</v>
      </c>
      <c r="E17" s="348" t="s">
        <v>40</v>
      </c>
    </row>
    <row r="18" spans="1:10" ht="16.5" customHeight="1" thickBot="1">
      <c r="A18" s="259"/>
      <c r="B18" s="259"/>
      <c r="C18" s="244" t="s">
        <v>155</v>
      </c>
      <c r="D18" s="348" t="s">
        <v>104</v>
      </c>
      <c r="E18" s="348" t="s">
        <v>104</v>
      </c>
    </row>
    <row r="19" spans="1:10" ht="19.5" customHeight="1">
      <c r="A19" s="284" t="s">
        <v>126</v>
      </c>
      <c r="B19" s="285"/>
      <c r="C19" s="48" t="s">
        <v>187</v>
      </c>
      <c r="D19" s="349">
        <f>INDEX(Списки!$B$18:$B$27,MATCH(D17,Списки!$A$18:$A$27,0))</f>
        <v>34</v>
      </c>
      <c r="E19" s="349">
        <f>INDEX(Списки!$B$18:$B$27,MATCH(E17,Списки!$A$18:$A$27,0))</f>
        <v>14</v>
      </c>
    </row>
    <row r="20" spans="1:10" ht="18" customHeight="1">
      <c r="A20" s="286"/>
      <c r="B20" s="287"/>
      <c r="C20" s="48" t="s">
        <v>155</v>
      </c>
      <c r="D20" s="25">
        <f>INDEX(Списки!$B$18:$B$27,MATCH(D18,Списки!$A$18:$A$27,0))</f>
        <v>34</v>
      </c>
      <c r="E20" s="25">
        <f>INDEX(Списки!$B$18:$B$27,MATCH(E18,Списки!$A$18:$A$27,0))</f>
        <v>34</v>
      </c>
    </row>
    <row r="21" spans="1:10" ht="16.5" customHeight="1">
      <c r="A21" s="259" t="s">
        <v>159</v>
      </c>
      <c r="B21" s="259"/>
      <c r="C21" s="48" t="s">
        <v>187</v>
      </c>
      <c r="D21" s="60">
        <v>1</v>
      </c>
      <c r="E21" s="119">
        <f ca="1">Списки!M3</f>
        <v>0.99999455608378429</v>
      </c>
    </row>
    <row r="22" spans="1:10" ht="16.5" customHeight="1">
      <c r="A22" s="259"/>
      <c r="B22" s="259"/>
      <c r="C22" s="48" t="s">
        <v>155</v>
      </c>
      <c r="D22" s="119">
        <f>1-D21</f>
        <v>0</v>
      </c>
      <c r="E22" s="119">
        <f ca="1">1-E21</f>
        <v>5.4439162157082777E-6</v>
      </c>
    </row>
    <row r="23" spans="1:10" ht="16.5" customHeight="1">
      <c r="A23" s="259" t="s">
        <v>156</v>
      </c>
      <c r="B23" s="259"/>
      <c r="C23" s="48" t="s">
        <v>187</v>
      </c>
      <c r="D23" s="60">
        <v>0.9</v>
      </c>
      <c r="E23" s="60">
        <v>0.84</v>
      </c>
    </row>
    <row r="24" spans="1:10" ht="16.5" customHeight="1">
      <c r="A24" s="259"/>
      <c r="B24" s="259"/>
      <c r="C24" s="48" t="s">
        <v>155</v>
      </c>
      <c r="D24" s="43">
        <v>0.82</v>
      </c>
      <c r="E24" s="43">
        <v>0.9</v>
      </c>
    </row>
    <row r="25" spans="1:10" ht="16.5" customHeight="1">
      <c r="A25" s="270" t="s">
        <v>157</v>
      </c>
      <c r="B25" s="271"/>
      <c r="C25" s="48" t="s">
        <v>187</v>
      </c>
      <c r="D25" s="3">
        <v>16500</v>
      </c>
      <c r="E25" s="160">
        <f>F25</f>
        <v>2500</v>
      </c>
      <c r="F25" s="159">
        <f>IF(Списки!E17&lt;=3,"",INDEX(Списки!$C$18:$C$27,Списки!E17))</f>
        <v>2500</v>
      </c>
    </row>
    <row r="26" spans="1:10" ht="16.5" customHeight="1">
      <c r="A26" s="272"/>
      <c r="B26" s="273"/>
      <c r="C26" s="48" t="s">
        <v>155</v>
      </c>
      <c r="D26" s="3">
        <v>16500</v>
      </c>
      <c r="E26" s="3">
        <v>16500</v>
      </c>
      <c r="F26" s="291" t="str">
        <f ca="1">IF((1/(D21*D23+D22*D24)/(D19*D21+D20*D22)*(D21*D25+D22*D26))&lt;(1/(E21*E23+E22*E24)/(E19*E21+E20*E22)*(E21*E25+E22*E26)),"Увага: енергія в паливі для базового варіанту дешевша, ніж для проектного!","")</f>
        <v/>
      </c>
    </row>
    <row r="27" spans="1:10" ht="16.5" customHeight="1">
      <c r="A27" s="245" t="s">
        <v>128</v>
      </c>
      <c r="B27" s="246"/>
      <c r="C27" s="247"/>
      <c r="D27" s="43">
        <v>0.1</v>
      </c>
      <c r="E27" s="43">
        <v>0.1</v>
      </c>
      <c r="F27" s="292"/>
    </row>
    <row r="28" spans="1:10" ht="16.5" customHeight="1">
      <c r="A28" s="245" t="s">
        <v>193</v>
      </c>
      <c r="B28" s="246"/>
      <c r="C28" s="247"/>
      <c r="D28" s="3">
        <v>25</v>
      </c>
      <c r="E28" s="3">
        <v>25</v>
      </c>
      <c r="F28" s="292"/>
    </row>
    <row r="29" spans="1:10" ht="16.5" customHeight="1">
      <c r="A29" s="278" t="s">
        <v>192</v>
      </c>
      <c r="B29" s="279"/>
      <c r="C29" s="280"/>
      <c r="D29" s="127">
        <f>3.5*1000</f>
        <v>3500</v>
      </c>
      <c r="E29" s="127">
        <f>3.5*1000</f>
        <v>3500</v>
      </c>
    </row>
    <row r="30" spans="1:10" ht="27.75" customHeight="1">
      <c r="A30" s="248" t="s">
        <v>244</v>
      </c>
      <c r="B30" s="248"/>
      <c r="C30" s="248"/>
      <c r="D30" s="3">
        <v>4700</v>
      </c>
      <c r="E30" s="128"/>
    </row>
    <row r="31" spans="1:10" ht="41.25" customHeight="1">
      <c r="A31" s="297" t="s">
        <v>243</v>
      </c>
      <c r="B31" s="257"/>
      <c r="C31" s="257"/>
      <c r="D31" s="258"/>
      <c r="E31" s="3">
        <v>1</v>
      </c>
    </row>
    <row r="32" spans="1:10" ht="15" customHeight="1">
      <c r="A32" s="257" t="s">
        <v>250</v>
      </c>
      <c r="B32" s="257"/>
      <c r="C32" s="257"/>
      <c r="D32" s="258"/>
      <c r="E32" s="127">
        <v>4700</v>
      </c>
      <c r="F32" s="295" t="s">
        <v>249</v>
      </c>
      <c r="G32" s="296"/>
      <c r="H32" s="296"/>
      <c r="I32" s="296"/>
      <c r="J32" s="296"/>
    </row>
    <row r="33" spans="1:8">
      <c r="A33" s="254" t="s">
        <v>158</v>
      </c>
      <c r="B33" s="254"/>
      <c r="C33" s="255"/>
      <c r="D33" s="129" t="s">
        <v>129</v>
      </c>
      <c r="E33" s="129" t="s">
        <v>130</v>
      </c>
    </row>
    <row r="34" spans="1:8">
      <c r="A34" s="256" t="s">
        <v>154</v>
      </c>
      <c r="B34" s="256"/>
      <c r="C34" s="61" t="s">
        <v>1</v>
      </c>
      <c r="D34" s="219">
        <v>0.5</v>
      </c>
      <c r="E34" s="220">
        <f>D34</f>
        <v>0.5</v>
      </c>
      <c r="F34" s="141"/>
    </row>
    <row r="35" spans="1:8">
      <c r="A35" s="256"/>
      <c r="B35" s="256"/>
      <c r="C35" s="62" t="s">
        <v>0</v>
      </c>
      <c r="D35" s="220">
        <f>1.163*D34</f>
        <v>0.58150000000000002</v>
      </c>
      <c r="E35" s="220">
        <f>1.163*E34</f>
        <v>0.58150000000000002</v>
      </c>
    </row>
    <row r="36" spans="1:8" ht="17.25" customHeight="1">
      <c r="A36" s="245" t="s">
        <v>131</v>
      </c>
      <c r="B36" s="246"/>
      <c r="C36" s="246"/>
      <c r="D36" s="47">
        <v>20</v>
      </c>
      <c r="E36" s="47">
        <v>20</v>
      </c>
    </row>
    <row r="37" spans="1:8" ht="17.25" customHeight="1">
      <c r="A37" s="259" t="s">
        <v>172</v>
      </c>
      <c r="B37" s="259"/>
      <c r="C37" s="259"/>
      <c r="D37" s="65">
        <v>0.1</v>
      </c>
      <c r="E37" s="65">
        <v>0.1</v>
      </c>
    </row>
    <row r="38" spans="1:8" ht="17.25" customHeight="1">
      <c r="A38" s="259" t="s">
        <v>188</v>
      </c>
      <c r="B38" s="259"/>
      <c r="C38" s="259"/>
      <c r="D38" s="47">
        <v>0</v>
      </c>
      <c r="E38" s="118"/>
    </row>
    <row r="39" spans="1:8" ht="16.5" customHeight="1" thickBot="1">
      <c r="A39" s="298" t="s">
        <v>160</v>
      </c>
      <c r="B39" s="298"/>
      <c r="C39" s="298"/>
      <c r="D39" s="350"/>
      <c r="E39" s="351" t="s">
        <v>130</v>
      </c>
    </row>
    <row r="40" spans="1:8" ht="16.5" customHeight="1" thickBot="1">
      <c r="A40" s="245" t="s">
        <v>166</v>
      </c>
      <c r="B40" s="246"/>
      <c r="C40" s="246"/>
      <c r="D40" s="354" t="s">
        <v>169</v>
      </c>
      <c r="E40" s="355"/>
    </row>
    <row r="41" spans="1:8" ht="16.5" customHeight="1">
      <c r="A41" s="257" t="s">
        <v>161</v>
      </c>
      <c r="B41" s="257"/>
      <c r="C41" s="257"/>
      <c r="D41" s="352"/>
      <c r="E41" s="353">
        <v>2</v>
      </c>
    </row>
    <row r="42" spans="1:8" ht="16.5" customHeight="1">
      <c r="A42" s="257" t="s">
        <v>258</v>
      </c>
      <c r="B42" s="257"/>
      <c r="C42" s="257"/>
      <c r="D42" s="258"/>
      <c r="E42" s="4">
        <v>1.5</v>
      </c>
      <c r="F42" s="293" t="str">
        <f ca="1">IF((E43+E44)&lt;E35/(1-E27)/(1-0.022),"Недостатня потужність котельні !"&amp;" Мінімально необхідна- "&amp;CEILING(E35/(1-E27)/(1-0.022),0.005)&amp;" МВт",IF((E43+E44)&lt;(E35/(1-E27)/(1-0.022)*IF(E41=1,2,IF(E41=2,1.5,1.25))),"Недостатнє резервування потужності котельні !",""))</f>
        <v/>
      </c>
    </row>
    <row r="43" spans="1:8" ht="23.25" customHeight="1">
      <c r="A43" s="257" t="s">
        <v>66</v>
      </c>
      <c r="B43" s="257"/>
      <c r="C43" s="257"/>
      <c r="D43" s="258"/>
      <c r="E43" s="220">
        <f ca="1">CEILING(E42*E35/(1-E27)/(1-0.022),IF(E43&lt;0.1,0.005,0.05))</f>
        <v>1</v>
      </c>
      <c r="F43" s="294"/>
    </row>
    <row r="44" spans="1:8" ht="15.75" customHeight="1">
      <c r="A44" s="257" t="s">
        <v>254</v>
      </c>
      <c r="B44" s="257"/>
      <c r="C44" s="257"/>
      <c r="D44" s="258"/>
      <c r="E44" s="241">
        <f ca="1">F44</f>
        <v>0</v>
      </c>
      <c r="F44" s="240">
        <f ca="1">CEILING(IF(E43&gt;=(E35/(1-E27)/(1-0.022)*IF(E41=1,2,IF(E41=2,1.5,1.25))),0,IF((E35/(1-E27)/(1-0.022)*IF(E41=1,2,IF(E41=2,1.5,1.25))-E43)&lt;0.7*E43/E41,0.7*E43/E41,(E35/(1-E27)/(1-0.022)*IF(E41=1,2,IF(E41=2,1.5,1.25))-E43))),IF(E35&lt;0.1,0.005,0.05))</f>
        <v>0</v>
      </c>
      <c r="H44" s="242"/>
    </row>
    <row r="45" spans="1:8" ht="17.25" customHeight="1">
      <c r="A45" s="257" t="s">
        <v>235</v>
      </c>
      <c r="B45" s="257"/>
      <c r="C45" s="257"/>
      <c r="D45" s="258"/>
      <c r="E45" s="116">
        <f ca="1">E43+E44</f>
        <v>1</v>
      </c>
      <c r="F45" s="243" t="str">
        <f>"мінімум без резерву- "&amp;CEILING(E35/(1-E27)/(1-0.022),0.005)&amp;" МВт"</f>
        <v>мінімум без резерву- 0.665 МВт</v>
      </c>
    </row>
    <row r="46" spans="1:8" ht="27" customHeight="1">
      <c r="A46" s="257" t="s">
        <v>171</v>
      </c>
      <c r="B46" s="257"/>
      <c r="C46" s="257"/>
      <c r="D46" s="258"/>
      <c r="E46" s="3">
        <v>0</v>
      </c>
    </row>
    <row r="47" spans="1:8" ht="12.75" customHeight="1">
      <c r="A47" s="257" t="s">
        <v>234</v>
      </c>
      <c r="B47" s="257"/>
      <c r="C47" s="257"/>
      <c r="D47" s="258"/>
      <c r="E47" s="3">
        <v>89</v>
      </c>
      <c r="F47" s="63">
        <f>CEILING(550*((E35/(1-$E$27)/(1-0.022))/(95-70)/1.5)^0.5,10)</f>
        <v>80</v>
      </c>
    </row>
    <row r="48" spans="1:8" ht="24" customHeight="1">
      <c r="A48" s="257" t="s">
        <v>256</v>
      </c>
      <c r="B48" s="257"/>
      <c r="C48" s="257"/>
      <c r="D48" s="258"/>
      <c r="E48" s="3">
        <v>1</v>
      </c>
    </row>
    <row r="49" spans="1:9" ht="15.75" thickBot="1">
      <c r="A49" s="259" t="s">
        <v>165</v>
      </c>
      <c r="B49" s="259"/>
      <c r="C49" s="259"/>
      <c r="D49" s="356"/>
      <c r="E49" s="357">
        <v>0</v>
      </c>
    </row>
    <row r="50" spans="1:9" ht="15.75" thickBot="1">
      <c r="A50" s="245" t="s">
        <v>255</v>
      </c>
      <c r="B50" s="246"/>
      <c r="C50" s="246"/>
      <c r="D50" s="354" t="s">
        <v>214</v>
      </c>
      <c r="E50" s="355"/>
    </row>
    <row r="51" spans="1:9">
      <c r="A51" s="59"/>
      <c r="B51" s="59"/>
      <c r="C51" s="59"/>
      <c r="D51" s="59"/>
      <c r="E51" s="49"/>
      <c r="I51" s="26"/>
    </row>
    <row r="52" spans="1:9">
      <c r="A52" s="275" t="s">
        <v>85</v>
      </c>
      <c r="B52" s="276"/>
      <c r="C52" s="277"/>
      <c r="D52" s="66" t="s">
        <v>129</v>
      </c>
      <c r="E52" s="66" t="s">
        <v>130</v>
      </c>
      <c r="I52" s="26"/>
    </row>
    <row r="53" spans="1:9">
      <c r="A53" s="259" t="s">
        <v>183</v>
      </c>
      <c r="B53" s="259"/>
      <c r="C53" s="259"/>
      <c r="D53" s="115">
        <f>D34*(D36-$E$13)/(D36-$E$14)*$E$12*24*(1-D37)</f>
        <v>909.66857142857145</v>
      </c>
      <c r="E53" s="115">
        <f>E34*(E36-$E$13)/(E36-$E$14)*$E$12*24*(1-E37)</f>
        <v>909.66857142857145</v>
      </c>
      <c r="I53" s="26"/>
    </row>
    <row r="54" spans="1:9">
      <c r="A54" s="259" t="s">
        <v>185</v>
      </c>
      <c r="B54" s="259"/>
      <c r="C54" s="259"/>
      <c r="D54" s="115">
        <f>D53/(1-D27)</f>
        <v>1010.7428571428571</v>
      </c>
      <c r="E54" s="115">
        <f>E53/(1-E27)</f>
        <v>1010.7428571428571</v>
      </c>
    </row>
    <row r="55" spans="1:9">
      <c r="A55" s="259" t="s">
        <v>186</v>
      </c>
      <c r="B55" s="259"/>
      <c r="C55" s="259"/>
      <c r="D55" s="115">
        <f>D54/(1-0.022)</f>
        <v>1033.4794040315512</v>
      </c>
      <c r="E55" s="115">
        <f>E54/(1-0.022)</f>
        <v>1033.4794040315512</v>
      </c>
    </row>
    <row r="56" spans="1:9">
      <c r="A56" s="259" t="s">
        <v>67</v>
      </c>
      <c r="B56" s="259"/>
      <c r="C56" s="259"/>
      <c r="D56" s="2">
        <f xml:space="preserve"> 0.0185*D55^0.053*1000</f>
        <v>26.725739144951767</v>
      </c>
      <c r="E56" s="116">
        <f xml:space="preserve"> 0.0185*E55^0.053*1000+IF(OR(MATCH(E17,Списки!$A$18:$A$27,0)=5,MATCH(E17,Списки!$A$18:$A$27,0)=6,MATCH(E17,Списки!$A$18:$A$27,0)=7)=TRUE,10,IF(OR(MATCH(E17,Списки!$A$18:$A$27,0)=8,MATCH(E17,Списки!$A$18:$A$27,0)=9,MATCH(E17,Списки!$A$18:$A$27,0)=10)=TRUE,5,0))</f>
        <v>26.725739144951767</v>
      </c>
    </row>
    <row r="57" spans="1:9">
      <c r="A57" s="259" t="s">
        <v>189</v>
      </c>
      <c r="B57" s="259"/>
      <c r="C57" s="259"/>
      <c r="D57" s="2">
        <f>D56*D55/1000</f>
        <v>27.62050096382745</v>
      </c>
      <c r="E57" s="2">
        <f>E56*E55/1000</f>
        <v>27.62050096382745</v>
      </c>
    </row>
    <row r="58" spans="1:9">
      <c r="A58" s="259" t="s">
        <v>49</v>
      </c>
      <c r="B58" s="259"/>
      <c r="C58" s="259"/>
      <c r="D58" s="2">
        <f>IF(D55&lt;1000,(0.0025*(4.66)*1000*E12*24/1000)*1.5,(0.0009149388*D55^0.6110681096)*D55)</f>
        <v>65.710926395365064</v>
      </c>
      <c r="E58" s="2">
        <f>IF(E55&lt;1000,(0.0025*(4.66+(E47/1000)^2*PI()/4*E46*2)*1000*E12*24/1000)*1.5,(0.0009149388*E55^0.6110681096)*E55)</f>
        <v>65.710926395365064</v>
      </c>
      <c r="I58" s="26"/>
    </row>
    <row r="59" spans="1:9">
      <c r="A59" s="259" t="s">
        <v>50</v>
      </c>
      <c r="B59" s="259"/>
      <c r="C59" s="259"/>
      <c r="D59" s="2">
        <f ca="1">E59*(1-D38)</f>
        <v>1</v>
      </c>
      <c r="E59" s="2">
        <f ca="1">IF(ROUND((INDEX(Списки!$W$12:$AB$16,IF((E41+IF(E44&gt;0,1,0))&gt;5,5,(E41+IF(E44&gt;0,1,0))),IF(ISERROR(MATCH(IF(((Розрахунок!E43+Розрахунок!E44)/Списки!T1)&lt;1,1,((Розрахунок!E43+Розрахунок!E44)/Списки!T1)),Списки!$W$11:$AB$11,0))=TRUE,MATCH(IF(((Розрахунок!E43+Розрахунок!E44)/Списки!T1)&lt;1,1,((Розрахунок!E43+Розрахунок!E44)/Списки!T1)),Списки!$W$11:$AB$11,1)+1,MATCH(IF(((Розрахунок!E43+Розрахунок!E44)/Списки!T1)&lt;1,1,((Розрахунок!E43+Розрахунок!E44)/Списки!T1)),Списки!$W$11:$AB$11,0))))*Списки!T6,1)&lt;1,1,ROUND((INDEX(Списки!$W$12:$AB$16,IF((E41+IF(E44&gt;0,1,0))&gt;5,5,(E41+IF(E44&gt;0,1,0))),IF(ISERROR(MATCH(IF(((Розрахунок!E43+Розрахунок!E44)/Списки!T1)&lt;1,1,((Розрахунок!E43+Розрахунок!E44)/Списки!T1)),Списки!$W$11:$AB$11,0))=TRUE,MATCH(IF(((Розрахунок!E43+Розрахунок!E44)/Списки!T1)&lt;1,1,((Розрахунок!E43+Розрахунок!E44)/Списки!T1)),Списки!$W$11:$AB$11,1)+1,MATCH(IF(((Розрахунок!E43+Розрахунок!E44)/Списки!T1)&lt;1,1,((Розрахунок!E43+Розрахунок!E44)/Списки!T1)),Списки!$W$11:$AB$11,0))))*Списки!T6,1))</f>
        <v>1</v>
      </c>
      <c r="I59" s="26"/>
    </row>
    <row r="60" spans="1:9">
      <c r="A60" s="259" t="s">
        <v>51</v>
      </c>
      <c r="B60" s="259"/>
      <c r="C60" s="259"/>
      <c r="D60" s="2">
        <f ca="1">E60*(1-D38)</f>
        <v>4</v>
      </c>
      <c r="E60" s="2">
        <f ca="1">E59*Списки!$T$7</f>
        <v>4</v>
      </c>
      <c r="I60" s="26"/>
    </row>
    <row r="61" spans="1:9">
      <c r="A61" s="259" t="s">
        <v>52</v>
      </c>
      <c r="B61" s="259"/>
      <c r="C61" s="259"/>
      <c r="D61" s="2">
        <f ca="1">ROUNDDOWN(IF(IF((5.954568839+2.326998591*LN((E43+E44)))/(1-0.08893678*LN((E43+E44)))&lt;0,0,(5.954568839+2.326998591*LN((E43+E44)))/(1-0.08893678*LN((E43+E44))))-E60&lt;0,0,IF((5.954568839+2.326998591*LN((E43+E44)))/(1-0.08893678*LN((E43+E44)))&lt;0,0,(5.954568839+2.326998591*LN((E43+E44)))/(1-0.08893678*LN((E43+E44))))-E60)/2,0)</f>
        <v>0</v>
      </c>
      <c r="E61" s="2">
        <f ca="1">ROUNDDOWN(IF(IF((5.954568839+2.326998591*LN((E43+E44)))/(1-0.08893678*LN((E43+E44)))&lt;0,0,(5.954568839+2.326998591*LN((E43+E44)))/(1-0.08893678*LN((E43+E44))))-E60&lt;0,0,IF((5.954568839+2.326998591*LN((E43+E44)))/(1-0.08893678*LN((E43+E44)))&lt;0,0,(5.954568839+2.326998591*LN((E43+E44)))/(1-0.08893678*LN((E43+E44))))-E60)/2,0)+ROUNDUP((1+IF(OR(MATCH(E17,Списки!$A$18:$A$27,0)=4,MATCH(E17,Списки!$A$18:$A$27,0)=5,MATCH(E17,Списки!$A$18:$A$27,0)=6,MATCH(E17,Списки!$A$18:$A$27,0)=7)=TRUE,2,0))*E34^0.5,0)</f>
        <v>3</v>
      </c>
    </row>
    <row r="62" spans="1:9" ht="16.5" customHeight="1">
      <c r="A62" s="270" t="s">
        <v>195</v>
      </c>
      <c r="B62" s="271"/>
      <c r="C62" s="48" t="s">
        <v>187</v>
      </c>
      <c r="D62" s="2">
        <f>D$55*4.19*D21/D23/D19</f>
        <v>141.51237591150979</v>
      </c>
      <c r="E62" s="2">
        <f ca="1">E$55*4.19*E21/(E23+0.08*E49)/E19</f>
        <v>368.21897357293807</v>
      </c>
    </row>
    <row r="63" spans="1:9">
      <c r="A63" s="272"/>
      <c r="B63" s="273"/>
      <c r="C63" s="48" t="s">
        <v>155</v>
      </c>
      <c r="D63" s="2">
        <f>D$55*4.19*D22/D24/D20</f>
        <v>0</v>
      </c>
      <c r="E63" s="2">
        <f ca="1">E$55*4.19*E22/E24/E20</f>
        <v>7.7038151794807375E-4</v>
      </c>
    </row>
    <row r="64" spans="1:9">
      <c r="A64" s="366"/>
      <c r="B64" s="367"/>
      <c r="C64" s="367"/>
      <c r="D64" s="367"/>
      <c r="E64" s="368"/>
    </row>
    <row r="65" spans="1:9" ht="30">
      <c r="A65" s="288" t="s">
        <v>194</v>
      </c>
      <c r="B65" s="289"/>
      <c r="C65" s="290"/>
      <c r="D65" s="48"/>
      <c r="E65" s="114"/>
      <c r="G65" s="40" t="s">
        <v>251</v>
      </c>
    </row>
    <row r="66" spans="1:9">
      <c r="A66" s="259" t="s">
        <v>53</v>
      </c>
      <c r="B66" s="259"/>
      <c r="C66" s="259"/>
      <c r="D66" s="2">
        <f>IF(Списки!$B$1=1,(D62*D25+D63*D26)/D55,IF(Списки!$B$1=2,0,""))</f>
        <v>2259.3137254901962</v>
      </c>
      <c r="E66" s="2">
        <f ca="1">(E62*E25+E63*E26)/E55</f>
        <v>890.73874296510644</v>
      </c>
      <c r="G66" s="238">
        <f ca="1">E66/$E$73</f>
        <v>0.40191475414016203</v>
      </c>
    </row>
    <row r="67" spans="1:9">
      <c r="A67" s="259" t="s">
        <v>54</v>
      </c>
      <c r="B67" s="259"/>
      <c r="C67" s="259"/>
      <c r="D67" s="2">
        <f>IF(Списки!$B$1=1,D57*D29/D55,IF(Списки!$B$1=2,0,""))</f>
        <v>93.540087007331181</v>
      </c>
      <c r="E67" s="2">
        <f>E57*E29/E55</f>
        <v>93.540087007331181</v>
      </c>
      <c r="G67" s="238">
        <f ca="1">E67/$E$73</f>
        <v>4.220669794451011E-2</v>
      </c>
    </row>
    <row r="68" spans="1:9">
      <c r="A68" s="259" t="s">
        <v>55</v>
      </c>
      <c r="B68" s="259"/>
      <c r="C68" s="259"/>
      <c r="D68" s="2">
        <f>IF(Списки!$B$1=1,D58*D28/D55,IF(Списки!$B$1=2,0,""))</f>
        <v>1.5895557797047055</v>
      </c>
      <c r="E68" s="2">
        <f>E58*E28/E55</f>
        <v>1.5895557797047055</v>
      </c>
      <c r="G68" s="238">
        <f ca="1">E68/$E$73</f>
        <v>7.1723154004217041E-4</v>
      </c>
    </row>
    <row r="69" spans="1:9">
      <c r="A69" s="259" t="s">
        <v>56</v>
      </c>
      <c r="B69" s="259"/>
      <c r="C69" s="259"/>
      <c r="D69" s="2">
        <f ca="1">IF(Списки!$B$1=1,0.7*E69,IF(Списки!$B$1=2,0,""))</f>
        <v>12.646439443744773</v>
      </c>
      <c r="E69" s="2">
        <f ca="1">0.1*$E$84*1000/$E$10/E55</f>
        <v>18.066342062492534</v>
      </c>
      <c r="G69" s="238">
        <f ca="1">E69/$E$73</f>
        <v>8.1518059987912752E-3</v>
      </c>
    </row>
    <row r="70" spans="1:9">
      <c r="A70" s="259" t="s">
        <v>57</v>
      </c>
      <c r="B70" s="259"/>
      <c r="C70" s="259"/>
      <c r="D70" s="2">
        <f ca="1">IF(Списки!$B$1=1,(D60+D61)*Списки!$T$8*(1+Списки!$T$9)*Розрахунок!$E$12/30.5/D55,IF(Списки!$B$1=2,0,""))</f>
        <v>463.2119402985075</v>
      </c>
      <c r="E70" s="2">
        <f ca="1">(E60+E61)*Списки!$T$8*(1+Списки!$T$9)*Розрахунок!$E$12/30.5/E55</f>
        <v>810.62089552238808</v>
      </c>
      <c r="G70" s="238">
        <f ca="1">E70/$E$73</f>
        <v>0.36576437310925569</v>
      </c>
    </row>
    <row r="71" spans="1:9">
      <c r="A71" s="259" t="s">
        <v>58</v>
      </c>
      <c r="B71" s="259"/>
      <c r="C71" s="259"/>
      <c r="D71" s="2">
        <f ca="1">IF(Списки!$B$1=1,0.7*E71,IF(Списки!$B$1=2,0,""))</f>
        <v>126.46439443744772</v>
      </c>
      <c r="E71" s="2">
        <f ca="1">E84*1000/$E$10/E55</f>
        <v>180.66342062492532</v>
      </c>
      <c r="G71" s="238">
        <f ca="1">E71/$E$73</f>
        <v>8.1518059987912755E-2</v>
      </c>
      <c r="I71" s="232"/>
    </row>
    <row r="72" spans="1:9" ht="29.25" customHeight="1">
      <c r="A72" s="259" t="s">
        <v>59</v>
      </c>
      <c r="B72" s="259"/>
      <c r="C72" s="259"/>
      <c r="D72" s="2">
        <f>IF(Списки!$B$1=1,IF(D55&gt;=100000,15.68388807+839.7799854/(D55)^0.5,363.2210042+0.000255654*IF(D55&lt;5000,5000,D55)-2.77490671*(LN(IF(D55&lt;5000,5000,D55)))^2)*IF(Розрахунок!$E$9&gt;Списки!$T$10,Розрахунок!$E$9/Списки!$T$10,1),IF(Списки!$B$1=2,0,""))</f>
        <v>221.01893632994697</v>
      </c>
      <c r="E72" s="2">
        <f>IF(E55&gt;=100000,15.68388807+839.7799854/(E55)^0.5,363.2210042+0.000255654*IF(E55&lt;5000,5000,E55)-2.77490671*(LN(IF(E55&lt;5000,5000,E55)))^2)*IF(Розрахунок!$E$9&gt;Списки!$T$10,Розрахунок!$E$9/Списки!$T$10,1)</f>
        <v>221.01893632994697</v>
      </c>
      <c r="G72" s="238">
        <f ca="1">E72/$E$73</f>
        <v>9.9727077279325879E-2</v>
      </c>
      <c r="I72" s="232"/>
    </row>
    <row r="73" spans="1:9">
      <c r="A73" s="259" t="s">
        <v>242</v>
      </c>
      <c r="B73" s="259"/>
      <c r="C73" s="259"/>
      <c r="D73" s="2">
        <f ca="1">IF(Списки!$B$1=1,SUM(D66:D72),IF(Списки!$B$1=2,D30*E53/1000,""))</f>
        <v>3177.7850787868797</v>
      </c>
      <c r="E73" s="2">
        <f ca="1">SUM(E66:E72)</f>
        <v>2216.2379802918954</v>
      </c>
      <c r="F73" s="233"/>
      <c r="I73" s="232"/>
    </row>
    <row r="74" spans="1:9">
      <c r="A74" s="259" t="s">
        <v>252</v>
      </c>
      <c r="B74" s="259"/>
      <c r="C74" s="259"/>
      <c r="D74" s="239"/>
      <c r="E74" s="2">
        <f ca="1">IF(Списки!B1=1,(D73-E73)*E55/1000,IF(Списки!B1=2,(D30*E53-E73*E55)/1000,IF(E31=0,E73*0.06,((0.9*E32-440-23)*E53-E73*E55)/1000)))</f>
        <v>993.73912230086364</v>
      </c>
    </row>
    <row r="75" spans="1:9" ht="30">
      <c r="A75" s="267" t="s">
        <v>257</v>
      </c>
      <c r="B75" s="268"/>
      <c r="C75" s="268"/>
      <c r="D75" s="268"/>
      <c r="E75" s="269"/>
      <c r="G75" s="40" t="s">
        <v>251</v>
      </c>
    </row>
    <row r="76" spans="1:9" ht="15" customHeight="1">
      <c r="A76" s="245" t="s">
        <v>236</v>
      </c>
      <c r="B76" s="246"/>
      <c r="C76" s="246"/>
      <c r="D76" s="247"/>
      <c r="E76" s="361">
        <f ca="1">F76</f>
        <v>128.90549641726278</v>
      </c>
      <c r="F76" s="360">
        <f ca="1">Списки!AE31*Розрахунок!$E$9/1000</f>
        <v>128.90549641726278</v>
      </c>
      <c r="G76" s="238">
        <f ca="1">E76/$E$84</f>
        <v>4.6026518094082841E-2</v>
      </c>
    </row>
    <row r="77" spans="1:9" ht="15" customHeight="1">
      <c r="A77" s="245" t="s">
        <v>237</v>
      </c>
      <c r="B77" s="246"/>
      <c r="C77" s="246"/>
      <c r="D77" s="247"/>
      <c r="E77" s="361">
        <f t="shared" ref="E77:E83" ca="1" si="0">F77</f>
        <v>511.11438291494102</v>
      </c>
      <c r="F77" s="360">
        <f ca="1">(Списки!AE36+Списки!AE44+Списки!AE47+Списки!AE48+Списки!AE53+Списки!AE54+Списки!AE58+Списки!AE59+Списки!AE62)*Розрахунок!$E$9/1000</f>
        <v>511.11438291494102</v>
      </c>
      <c r="G77" s="238">
        <f ca="1">E77/$E$84</f>
        <v>0.18249660446775268</v>
      </c>
    </row>
    <row r="78" spans="1:9" ht="15" customHeight="1">
      <c r="A78" s="245" t="s">
        <v>238</v>
      </c>
      <c r="B78" s="246"/>
      <c r="C78" s="246"/>
      <c r="D78" s="247"/>
      <c r="E78" s="361">
        <f t="shared" ca="1" si="0"/>
        <v>950.57954361709903</v>
      </c>
      <c r="F78" s="360">
        <f ca="1">(Списки!AE37+Списки!AE75)*Розрахунок!$E$9/1000</f>
        <v>950.57954361709903</v>
      </c>
      <c r="G78" s="238">
        <f ca="1">E78/$E$84</f>
        <v>0.33941040359158997</v>
      </c>
    </row>
    <row r="79" spans="1:9" ht="15" customHeight="1">
      <c r="A79" s="245" t="s">
        <v>239</v>
      </c>
      <c r="B79" s="246"/>
      <c r="C79" s="246"/>
      <c r="D79" s="247"/>
      <c r="E79" s="361">
        <f t="shared" ca="1" si="0"/>
        <v>33.163125000000001</v>
      </c>
      <c r="F79" s="360">
        <f ca="1">Списки!AE39*Розрахунок!$E$9/1000</f>
        <v>33.163125000000001</v>
      </c>
      <c r="G79" s="238">
        <f ca="1">E79/$E$84</f>
        <v>1.1841102321409008E-2</v>
      </c>
    </row>
    <row r="80" spans="1:9">
      <c r="A80" s="245" t="s">
        <v>240</v>
      </c>
      <c r="B80" s="246"/>
      <c r="C80" s="246"/>
      <c r="D80" s="247"/>
      <c r="E80" s="361">
        <f t="shared" ca="1" si="0"/>
        <v>629.36340441704317</v>
      </c>
      <c r="F80" s="360">
        <f ca="1">(Списки!AE34+Списки!AE42+Списки!AE43+Списки!AE45+Списки!AE46+Списки!AE49+Списки!AE50+Списки!AE51+Списки!AE52+Списки!AE55+Списки!AE56+Списки!AE60+Списки!AE61+Списки!AE64+Списки!AE66+Списки!AE67+Списки!AE68+Списки!AE69+Списки!AE72+Списки!AE73)*Розрахунок!$E$9/1000</f>
        <v>629.36340441704317</v>
      </c>
      <c r="G80" s="238">
        <f ca="1">E80/$E$84</f>
        <v>0.22471816118211196</v>
      </c>
    </row>
    <row r="81" spans="1:7" ht="15" customHeight="1">
      <c r="A81" s="245" t="s">
        <v>36</v>
      </c>
      <c r="B81" s="246"/>
      <c r="C81" s="246"/>
      <c r="D81" s="247"/>
      <c r="E81" s="361">
        <f t="shared" si="0"/>
        <v>0</v>
      </c>
      <c r="F81" s="360">
        <f>(Списки!AE77)*Розрахунок!$E$9/1000</f>
        <v>0</v>
      </c>
      <c r="G81" s="238">
        <f ca="1">E81/$E$84</f>
        <v>0</v>
      </c>
    </row>
    <row r="82" spans="1:7" ht="15" customHeight="1">
      <c r="A82" s="245" t="s">
        <v>105</v>
      </c>
      <c r="B82" s="246"/>
      <c r="C82" s="246"/>
      <c r="D82" s="247"/>
      <c r="E82" s="361">
        <f t="shared" ca="1" si="0"/>
        <v>100.38569819351849</v>
      </c>
      <c r="F82" s="360">
        <f ca="1">(Списки!AE57+Списки!AE32)*Розрахунок!$E$9/1000</f>
        <v>100.38569819351849</v>
      </c>
      <c r="G82" s="238">
        <f ca="1">E82/$E$84</f>
        <v>3.5843344796834917E-2</v>
      </c>
    </row>
    <row r="83" spans="1:7">
      <c r="A83" s="245" t="s">
        <v>241</v>
      </c>
      <c r="B83" s="246"/>
      <c r="C83" s="246"/>
      <c r="D83" s="247"/>
      <c r="E83" s="361">
        <f t="shared" ca="1" si="0"/>
        <v>447.16721360637433</v>
      </c>
      <c r="F83" s="360">
        <f ca="1">SUM(E76:E82)*0.19</f>
        <v>447.16721360637433</v>
      </c>
      <c r="G83" s="238">
        <f ca="1">E83/$E$84</f>
        <v>0.15966386554621848</v>
      </c>
    </row>
    <row r="84" spans="1:7">
      <c r="A84" s="245" t="s">
        <v>132</v>
      </c>
      <c r="B84" s="246"/>
      <c r="C84" s="246"/>
      <c r="D84" s="247"/>
      <c r="E84" s="235">
        <f ca="1">SUM(E76:E83)</f>
        <v>2800.6788641662392</v>
      </c>
      <c r="F84" s="234"/>
    </row>
    <row r="85" spans="1:7">
      <c r="A85" s="263" t="s">
        <v>39</v>
      </c>
      <c r="B85" s="264"/>
      <c r="C85" s="264"/>
      <c r="D85" s="265"/>
      <c r="E85" s="364">
        <f ca="1">0.2*E84</f>
        <v>560.13577283324787</v>
      </c>
    </row>
    <row r="86" spans="1:7">
      <c r="A86" s="362" t="s">
        <v>259</v>
      </c>
      <c r="B86" s="363" t="s">
        <v>182</v>
      </c>
      <c r="C86" s="363"/>
      <c r="D86" s="363"/>
      <c r="E86" s="365">
        <f ca="1">E84+E85</f>
        <v>3360.814636999487</v>
      </c>
    </row>
    <row r="87" spans="1:7">
      <c r="A87" s="362"/>
      <c r="B87" s="363" t="s">
        <v>260</v>
      </c>
      <c r="C87" s="363"/>
      <c r="D87" s="363"/>
      <c r="E87" s="365">
        <f ca="1">E86*1000/$E$9</f>
        <v>89621.723653319656</v>
      </c>
    </row>
    <row r="88" spans="1:7">
      <c r="A88" s="49"/>
      <c r="B88" s="49"/>
      <c r="C88" s="49"/>
      <c r="D88" s="49"/>
      <c r="E88" s="50"/>
    </row>
    <row r="89" spans="1:7">
      <c r="A89" s="266" t="s">
        <v>133</v>
      </c>
      <c r="B89" s="266"/>
      <c r="C89" s="266"/>
      <c r="D89" s="266"/>
      <c r="E89" s="266"/>
    </row>
    <row r="90" spans="1:7">
      <c r="A90" s="260" t="s">
        <v>3</v>
      </c>
      <c r="B90" s="261"/>
      <c r="C90" s="261"/>
      <c r="D90" s="262"/>
      <c r="E90" s="236">
        <f ca="1">CashFlow!C18</f>
        <v>2.6679415687862487</v>
      </c>
    </row>
    <row r="91" spans="1:7">
      <c r="A91" s="260" t="s">
        <v>8</v>
      </c>
      <c r="B91" s="261"/>
      <c r="C91" s="261"/>
      <c r="D91" s="262"/>
      <c r="E91" s="236">
        <f ca="1">CashFlow!C19</f>
        <v>3.2651332508599475</v>
      </c>
    </row>
    <row r="92" spans="1:7">
      <c r="A92" s="260" t="s">
        <v>134</v>
      </c>
      <c r="B92" s="261"/>
      <c r="C92" s="261"/>
      <c r="D92" s="262"/>
      <c r="E92" s="237">
        <f ca="1">CashFlow!C17</f>
        <v>0.37245569807308931</v>
      </c>
    </row>
    <row r="93" spans="1:7">
      <c r="A93" s="260" t="s">
        <v>135</v>
      </c>
      <c r="B93" s="261"/>
      <c r="C93" s="261"/>
      <c r="D93" s="262"/>
      <c r="E93" s="236">
        <f ca="1">CashFlow!C16</f>
        <v>4920.2549123971021</v>
      </c>
    </row>
    <row r="94" spans="1:7">
      <c r="A94" s="260" t="s">
        <v>253</v>
      </c>
      <c r="B94" s="261"/>
      <c r="C94" s="261"/>
      <c r="D94" s="262"/>
      <c r="E94" s="236">
        <f ca="1">E74*E10/E86</f>
        <v>4.4352600320203948</v>
      </c>
    </row>
    <row r="95" spans="1:7">
      <c r="A95" s="260" t="s">
        <v>136</v>
      </c>
      <c r="B95" s="261"/>
      <c r="C95" s="261"/>
      <c r="D95" s="262"/>
      <c r="E95" s="236">
        <f ca="1">(INDEX(Списки!$D$18:$D$27,MATCH(D17,Списки!$A$18:$A$27,0))*D$55*D21*1000*4.19/3600/D23+INDEX(Списки!$D$18:$D$27,MATCH(D18,Списки!$A$18:$A$27,0))*D$55*D22*1000*4.19/3600/D24)-(INDEX(Списки!$D$18:$D$27,MATCH(E17,Списки!$A$18:$A$27,0))*E$55*E21*1000*4.19/3600/E23+INDEX(Списки!$D$18:$D$27,MATCH(E18,Списки!$A$18:$A$27,0))*E$55*E22*1000*4.19/3600/E24)</f>
        <v>269.97269632777335</v>
      </c>
    </row>
    <row r="96" spans="1:7">
      <c r="A96" s="260" t="s">
        <v>137</v>
      </c>
      <c r="B96" s="261"/>
      <c r="C96" s="261"/>
      <c r="D96" s="262"/>
      <c r="E96" s="236">
        <f ca="1">E95*E10/E86*1000</f>
        <v>1204.9431112130742</v>
      </c>
    </row>
  </sheetData>
  <mergeCells count="89">
    <mergeCell ref="F7:G7"/>
    <mergeCell ref="A86:A87"/>
    <mergeCell ref="B86:D86"/>
    <mergeCell ref="B87:D87"/>
    <mergeCell ref="A64:E64"/>
    <mergeCell ref="F42:F43"/>
    <mergeCell ref="A48:D48"/>
    <mergeCell ref="F32:J32"/>
    <mergeCell ref="A32:D32"/>
    <mergeCell ref="A31:D31"/>
    <mergeCell ref="A37:C37"/>
    <mergeCell ref="A39:D39"/>
    <mergeCell ref="A38:C38"/>
    <mergeCell ref="F26:F28"/>
    <mergeCell ref="A83:D83"/>
    <mergeCell ref="A73:C73"/>
    <mergeCell ref="A74:C74"/>
    <mergeCell ref="A77:D77"/>
    <mergeCell ref="A78:D78"/>
    <mergeCell ref="A79:D79"/>
    <mergeCell ref="A62:B63"/>
    <mergeCell ref="A72:C72"/>
    <mergeCell ref="A66:C66"/>
    <mergeCell ref="A67:C67"/>
    <mergeCell ref="A68:C68"/>
    <mergeCell ref="A69:C69"/>
    <mergeCell ref="A71:C71"/>
    <mergeCell ref="A28:C28"/>
    <mergeCell ref="A29:C29"/>
    <mergeCell ref="A50:C50"/>
    <mergeCell ref="A9:D9"/>
    <mergeCell ref="A76:D76"/>
    <mergeCell ref="A14:D14"/>
    <mergeCell ref="A19:B20"/>
    <mergeCell ref="A59:C59"/>
    <mergeCell ref="A45:D45"/>
    <mergeCell ref="A65:C65"/>
    <mergeCell ref="A70:C70"/>
    <mergeCell ref="A55:C55"/>
    <mergeCell ref="A56:C56"/>
    <mergeCell ref="A58:C58"/>
    <mergeCell ref="A57:C57"/>
    <mergeCell ref="A60:C60"/>
    <mergeCell ref="A61:C61"/>
    <mergeCell ref="D50:E50"/>
    <mergeCell ref="A52:C52"/>
    <mergeCell ref="A53:C53"/>
    <mergeCell ref="A54:C54"/>
    <mergeCell ref="A40:C40"/>
    <mergeCell ref="D40:E40"/>
    <mergeCell ref="A43:D43"/>
    <mergeCell ref="A42:D42"/>
    <mergeCell ref="A41:D41"/>
    <mergeCell ref="A7:E7"/>
    <mergeCell ref="A8:D8"/>
    <mergeCell ref="A10:D10"/>
    <mergeCell ref="A11:D11"/>
    <mergeCell ref="A12:D12"/>
    <mergeCell ref="A96:D96"/>
    <mergeCell ref="A17:B18"/>
    <mergeCell ref="A21:B22"/>
    <mergeCell ref="A23:B24"/>
    <mergeCell ref="A90:D90"/>
    <mergeCell ref="A91:D91"/>
    <mergeCell ref="A92:D92"/>
    <mergeCell ref="A93:D93"/>
    <mergeCell ref="A94:D94"/>
    <mergeCell ref="A95:D95"/>
    <mergeCell ref="A84:D84"/>
    <mergeCell ref="A85:D85"/>
    <mergeCell ref="A89:E89"/>
    <mergeCell ref="A75:E75"/>
    <mergeCell ref="A80:D80"/>
    <mergeCell ref="A81:D81"/>
    <mergeCell ref="A82:D82"/>
    <mergeCell ref="A30:C30"/>
    <mergeCell ref="A1:B6"/>
    <mergeCell ref="A36:C36"/>
    <mergeCell ref="A16:C16"/>
    <mergeCell ref="A33:C33"/>
    <mergeCell ref="A34:B35"/>
    <mergeCell ref="A13:D13"/>
    <mergeCell ref="B15:E15"/>
    <mergeCell ref="A46:D46"/>
    <mergeCell ref="A47:D47"/>
    <mergeCell ref="A49:D49"/>
    <mergeCell ref="A44:D44"/>
    <mergeCell ref="A25:B26"/>
    <mergeCell ref="A27:C27"/>
  </mergeCells>
  <conditionalFormatting sqref="A32:E32">
    <cfRule type="expression" dxfId="10" priority="7">
      <formula>$E$31=0</formula>
    </cfRule>
  </conditionalFormatting>
  <conditionalFormatting sqref="F32:J32">
    <cfRule type="expression" dxfId="9" priority="6">
      <formula>$E$31=0</formula>
    </cfRule>
  </conditionalFormatting>
  <conditionalFormatting sqref="D66:D73">
    <cfRule type="cellIs" dxfId="8" priority="2" operator="equal">
      <formula>""</formula>
    </cfRule>
  </conditionalFormatting>
  <conditionalFormatting sqref="F26:F28">
    <cfRule type="cellIs" dxfId="7" priority="1" operator="equal">
      <formula>""</formula>
    </cfRule>
  </conditionalFormatting>
  <dataValidations count="6">
    <dataValidation allowBlank="1" showInputMessage="1" showErrorMessage="1" prompt="Для твердих  палив-   грн/т_x000a_Для газу-                      грн/тис.м3_x000a_Для електроенергії-   грн/тис.кВт*год" sqref="D25:E26"/>
    <dataValidation allowBlank="1" showInputMessage="1" showErrorMessage="1" prompt="Природний газ, нові котли: 90-92%_x000a_Природний газ,старі котли: 86-89%_x000a_Природний газ,з утилізаторами теплоти ДГ: 95-105%_x000a_Твердопаливні котли з періодичним завантаженням: 75-82%_x000a_Твердопаливні котли з механічним завантаженням: 82-86%_x000a_Електрокотли: 97-99%" sqref="D23:E24"/>
    <dataValidation allowBlank="1" showInputMessage="1" showErrorMessage="1" prompt="&lt;=1  якщо є чи планується резервне джерело тепла, наприклад, газовий котел ;_x000a_=1,5 - 2 якщо буде встановлено 2 котли на БМ, без резервних джерел;_x000a_= 1,25-1,5 якщо буде встановлено 3 чи більше котлів на біомасі, без резервних джерел." sqref="E42"/>
    <dataValidation allowBlank="1" showInputMessage="1" showErrorMessage="1" prompt="можна 1 якщо є резервне джерело тепла, в інших випадках не менше 2" sqref="E41"/>
    <dataValidation allowBlank="1" showInputMessage="1" showErrorMessage="1" prompt="Показує ступінь зменшення відпуску теплової енергії завдяки погодному регулюванню або штучному зменшенню тривалості періоду опалення" sqref="A37:C38"/>
    <dataValidation type="custom" errorStyle="warning" allowBlank="1" showInputMessage="1" showErrorMessage="1" error="Потужність котельні менша 3 МВт" prompt="При мінімальній встановленій потужності котельні 3 МВт" sqref="E49">
      <formula1>IF($E$43&lt;3,0,1)</formula1>
    </dataValidation>
  </dataValidations>
  <hyperlinks>
    <hyperlink ref="F32" location="'Тарифи ЦО'!A1" display="див. тарифи для населення та бюджетних установ тут"/>
  </hyperlink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9F919CDA-E725-4354-B5E1-8FE271E6C46F}">
            <xm:f>Списки!$B$1&lt;&gt;3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A31:E32</xm:sqref>
        </x14:conditionalFormatting>
        <x14:conditionalFormatting xmlns:xm="http://schemas.microsoft.com/office/excel/2006/main">
          <x14:cfRule type="expression" priority="4" id="{8D1211B8-E982-492E-BD2F-62FDC6CA6AEC}">
            <xm:f>Списки!$B$1&lt;&gt;3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F37 F32:J32</xm:sqref>
        </x14:conditionalFormatting>
        <x14:conditionalFormatting xmlns:xm="http://schemas.microsoft.com/office/excel/2006/main">
          <x14:cfRule type="expression" priority="3" id="{4998BC5A-E1FC-4C0F-ADA1-9B487E20577A}">
            <xm:f>Списки!$B$1=1</xm:f>
            <x14:dxf>
              <font>
                <color theme="0" tint="-0.499984740745262"/>
              </font>
              <fill>
                <patternFill>
                  <bgColor theme="0" tint="-0.499984740745262"/>
                </patternFill>
              </fill>
            </x14:dxf>
          </x14:cfRule>
          <xm:sqref>A30:E30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Списки!$A$34:$A$59</xm:f>
          </x14:formula1>
          <xm:sqref>E11</xm:sqref>
        </x14:dataValidation>
        <x14:dataValidation type="list" allowBlank="1" showInputMessage="1" showErrorMessage="1">
          <x14:formula1>
            <xm:f>Списки!$A$2:$A$4</xm:f>
          </x14:formula1>
          <xm:sqref>B15:E15</xm:sqref>
        </x14:dataValidation>
        <x14:dataValidation type="list" allowBlank="1" showInputMessage="1" showErrorMessage="1">
          <x14:formula1>
            <xm:f>Списки!$A$7:$A$9</xm:f>
          </x14:formula1>
          <xm:sqref>D40:E40</xm:sqref>
        </x14:dataValidation>
        <x14:dataValidation type="list" allowBlank="1" showInputMessage="1" showErrorMessage="1">
          <x14:formula1>
            <xm:f>Списки!$A$18:$A$27</xm:f>
          </x14:formula1>
          <xm:sqref>D17:E18</xm:sqref>
        </x14:dataValidation>
        <x14:dataValidation type="list" allowBlank="1" showInputMessage="1" showErrorMessage="1" prompt="Як правило, розглядається для котлів потужністю вище 0,5 МВт">
          <x14:formula1>
            <xm:f>Списки!$A$12:$A$14</xm:f>
          </x14:formula1>
          <xm:sqref>D50:E50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G62"/>
  <sheetViews>
    <sheetView showGridLines="0" tabSelected="1" zoomScale="85" zoomScaleNormal="85" zoomScaleSheetLayoutView="100" workbookViewId="0">
      <pane xSplit="2" topLeftCell="C1" activePane="topRight" state="frozenSplit"/>
      <selection activeCell="F87" sqref="F87"/>
      <selection pane="topRight" activeCell="F87" sqref="F87"/>
    </sheetView>
  </sheetViews>
  <sheetFormatPr defaultRowHeight="12.75" outlineLevelRow="1" outlineLevelCol="2"/>
  <cols>
    <col min="1" max="1" width="2.140625" style="70" customWidth="1"/>
    <col min="2" max="2" width="36.140625" style="70" customWidth="1"/>
    <col min="3" max="7" width="5.7109375" style="70" customWidth="1" outlineLevel="2"/>
    <col min="8" max="33" width="5.7109375" style="70" customWidth="1"/>
    <col min="34" max="16384" width="9.140625" style="70"/>
  </cols>
  <sheetData>
    <row r="1" spans="2:33" ht="13.5" thickBot="1"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</row>
    <row r="2" spans="2:33" ht="15" customHeight="1">
      <c r="B2" s="332" t="s">
        <v>175</v>
      </c>
      <c r="C2" s="334" t="s">
        <v>2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6"/>
    </row>
    <row r="3" spans="2:33">
      <c r="B3" s="333"/>
      <c r="C3" s="71">
        <v>0</v>
      </c>
      <c r="D3" s="72">
        <f t="shared" ref="D3:AG3" si="0">C3+1</f>
        <v>1</v>
      </c>
      <c r="E3" s="72">
        <f t="shared" si="0"/>
        <v>2</v>
      </c>
      <c r="F3" s="72">
        <f t="shared" si="0"/>
        <v>3</v>
      </c>
      <c r="G3" s="72">
        <f t="shared" si="0"/>
        <v>4</v>
      </c>
      <c r="H3" s="72">
        <f t="shared" si="0"/>
        <v>5</v>
      </c>
      <c r="I3" s="72">
        <f t="shared" si="0"/>
        <v>6</v>
      </c>
      <c r="J3" s="72">
        <f t="shared" si="0"/>
        <v>7</v>
      </c>
      <c r="K3" s="72">
        <f t="shared" si="0"/>
        <v>8</v>
      </c>
      <c r="L3" s="72">
        <f t="shared" si="0"/>
        <v>9</v>
      </c>
      <c r="M3" s="72">
        <f t="shared" si="0"/>
        <v>10</v>
      </c>
      <c r="N3" s="72">
        <f t="shared" si="0"/>
        <v>11</v>
      </c>
      <c r="O3" s="72">
        <f t="shared" si="0"/>
        <v>12</v>
      </c>
      <c r="P3" s="72">
        <f t="shared" si="0"/>
        <v>13</v>
      </c>
      <c r="Q3" s="72">
        <f t="shared" si="0"/>
        <v>14</v>
      </c>
      <c r="R3" s="72">
        <f t="shared" si="0"/>
        <v>15</v>
      </c>
      <c r="S3" s="72">
        <f t="shared" si="0"/>
        <v>16</v>
      </c>
      <c r="T3" s="72">
        <f t="shared" si="0"/>
        <v>17</v>
      </c>
      <c r="U3" s="72">
        <f t="shared" si="0"/>
        <v>18</v>
      </c>
      <c r="V3" s="72">
        <f t="shared" si="0"/>
        <v>19</v>
      </c>
      <c r="W3" s="72">
        <f t="shared" si="0"/>
        <v>20</v>
      </c>
      <c r="X3" s="72">
        <f t="shared" si="0"/>
        <v>21</v>
      </c>
      <c r="Y3" s="72">
        <f t="shared" si="0"/>
        <v>22</v>
      </c>
      <c r="Z3" s="72">
        <f t="shared" si="0"/>
        <v>23</v>
      </c>
      <c r="AA3" s="72">
        <f t="shared" si="0"/>
        <v>24</v>
      </c>
      <c r="AB3" s="72">
        <f t="shared" si="0"/>
        <v>25</v>
      </c>
      <c r="AC3" s="72">
        <f t="shared" si="0"/>
        <v>26</v>
      </c>
      <c r="AD3" s="72">
        <f t="shared" si="0"/>
        <v>27</v>
      </c>
      <c r="AE3" s="72">
        <f t="shared" si="0"/>
        <v>28</v>
      </c>
      <c r="AF3" s="72">
        <f t="shared" si="0"/>
        <v>29</v>
      </c>
      <c r="AG3" s="73">
        <f t="shared" si="0"/>
        <v>30</v>
      </c>
    </row>
    <row r="4" spans="2:33" ht="24" customHeight="1">
      <c r="B4" s="74" t="s">
        <v>176</v>
      </c>
      <c r="C4" s="75">
        <f ca="1">Розрахунок!E84</f>
        <v>2800.6788641662392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7"/>
    </row>
    <row r="5" spans="2:33">
      <c r="B5" s="74" t="s">
        <v>177</v>
      </c>
      <c r="C5" s="78">
        <v>0</v>
      </c>
      <c r="D5" s="76">
        <f ca="1">IFERROR(Розрахунок!E74-(Розрахунок!D71-Розрахунок!E71)*Розрахунок!E55/1000,Розрахунок!E74)</f>
        <v>1049.7526995841883</v>
      </c>
      <c r="E5" s="76">
        <f ca="1">D5</f>
        <v>1049.7526995841883</v>
      </c>
      <c r="F5" s="76">
        <f t="shared" ref="F5:R5" ca="1" si="1">E5</f>
        <v>1049.7526995841883</v>
      </c>
      <c r="G5" s="76">
        <f t="shared" ca="1" si="1"/>
        <v>1049.7526995841883</v>
      </c>
      <c r="H5" s="76">
        <f t="shared" ca="1" si="1"/>
        <v>1049.7526995841883</v>
      </c>
      <c r="I5" s="76">
        <f t="shared" ca="1" si="1"/>
        <v>1049.7526995841883</v>
      </c>
      <c r="J5" s="76">
        <f t="shared" ca="1" si="1"/>
        <v>1049.7526995841883</v>
      </c>
      <c r="K5" s="76">
        <f t="shared" ca="1" si="1"/>
        <v>1049.7526995841883</v>
      </c>
      <c r="L5" s="76">
        <f t="shared" ca="1" si="1"/>
        <v>1049.7526995841883</v>
      </c>
      <c r="M5" s="76">
        <f t="shared" ca="1" si="1"/>
        <v>1049.7526995841883</v>
      </c>
      <c r="N5" s="76">
        <f t="shared" ca="1" si="1"/>
        <v>1049.7526995841883</v>
      </c>
      <c r="O5" s="76">
        <f t="shared" ca="1" si="1"/>
        <v>1049.7526995841883</v>
      </c>
      <c r="P5" s="76">
        <f ca="1">O5</f>
        <v>1049.7526995841883</v>
      </c>
      <c r="Q5" s="76">
        <f t="shared" ca="1" si="1"/>
        <v>1049.7526995841883</v>
      </c>
      <c r="R5" s="76">
        <f t="shared" ca="1" si="1"/>
        <v>1049.7526995841883</v>
      </c>
      <c r="S5" s="76">
        <f ca="1">R5</f>
        <v>1049.7526995841883</v>
      </c>
      <c r="T5" s="76">
        <f ca="1">S5</f>
        <v>1049.7526995841883</v>
      </c>
      <c r="U5" s="76">
        <f ca="1">T5</f>
        <v>1049.7526995841883</v>
      </c>
      <c r="V5" s="76">
        <f ca="1">U5</f>
        <v>1049.7526995841883</v>
      </c>
      <c r="W5" s="76">
        <f ca="1">V5</f>
        <v>1049.7526995841883</v>
      </c>
      <c r="X5" s="76">
        <f t="shared" ref="X5:AG5" ca="1" si="2">W5</f>
        <v>1049.7526995841883</v>
      </c>
      <c r="Y5" s="76">
        <f t="shared" ca="1" si="2"/>
        <v>1049.7526995841883</v>
      </c>
      <c r="Z5" s="76">
        <f t="shared" ca="1" si="2"/>
        <v>1049.7526995841883</v>
      </c>
      <c r="AA5" s="76">
        <f t="shared" ca="1" si="2"/>
        <v>1049.7526995841883</v>
      </c>
      <c r="AB5" s="76">
        <f t="shared" ca="1" si="2"/>
        <v>1049.7526995841883</v>
      </c>
      <c r="AC5" s="76">
        <f t="shared" ca="1" si="2"/>
        <v>1049.7526995841883</v>
      </c>
      <c r="AD5" s="76">
        <f t="shared" ca="1" si="2"/>
        <v>1049.7526995841883</v>
      </c>
      <c r="AE5" s="76">
        <f t="shared" ca="1" si="2"/>
        <v>1049.7526995841883</v>
      </c>
      <c r="AF5" s="76">
        <f t="shared" ca="1" si="2"/>
        <v>1049.7526995841883</v>
      </c>
      <c r="AG5" s="77">
        <f t="shared" ca="1" si="2"/>
        <v>1049.7526995841883</v>
      </c>
    </row>
    <row r="6" spans="2:33">
      <c r="B6" s="74" t="s">
        <v>178</v>
      </c>
      <c r="C6" s="75">
        <f ca="1">C5-C4</f>
        <v>-2800.6788641662392</v>
      </c>
      <c r="D6" s="79">
        <f t="shared" ref="D6:AG6" ca="1" si="3">D5-D4</f>
        <v>1049.7526995841883</v>
      </c>
      <c r="E6" s="79">
        <f t="shared" ca="1" si="3"/>
        <v>1049.7526995841883</v>
      </c>
      <c r="F6" s="79">
        <f t="shared" ca="1" si="3"/>
        <v>1049.7526995841883</v>
      </c>
      <c r="G6" s="79">
        <f t="shared" ca="1" si="3"/>
        <v>1049.7526995841883</v>
      </c>
      <c r="H6" s="79">
        <f t="shared" ca="1" si="3"/>
        <v>1049.7526995841883</v>
      </c>
      <c r="I6" s="79">
        <f t="shared" ca="1" si="3"/>
        <v>1049.7526995841883</v>
      </c>
      <c r="J6" s="79">
        <f t="shared" ca="1" si="3"/>
        <v>1049.7526995841883</v>
      </c>
      <c r="K6" s="79">
        <f t="shared" ca="1" si="3"/>
        <v>1049.7526995841883</v>
      </c>
      <c r="L6" s="79">
        <f t="shared" ca="1" si="3"/>
        <v>1049.7526995841883</v>
      </c>
      <c r="M6" s="79">
        <f t="shared" ca="1" si="3"/>
        <v>1049.7526995841883</v>
      </c>
      <c r="N6" s="79">
        <f t="shared" ca="1" si="3"/>
        <v>1049.7526995841883</v>
      </c>
      <c r="O6" s="79">
        <f t="shared" ca="1" si="3"/>
        <v>1049.7526995841883</v>
      </c>
      <c r="P6" s="79">
        <f t="shared" ca="1" si="3"/>
        <v>1049.7526995841883</v>
      </c>
      <c r="Q6" s="79">
        <f t="shared" ca="1" si="3"/>
        <v>1049.7526995841883</v>
      </c>
      <c r="R6" s="79">
        <f t="shared" ca="1" si="3"/>
        <v>1049.7526995841883</v>
      </c>
      <c r="S6" s="79">
        <f t="shared" ca="1" si="3"/>
        <v>1049.7526995841883</v>
      </c>
      <c r="T6" s="79">
        <f t="shared" ca="1" si="3"/>
        <v>1049.7526995841883</v>
      </c>
      <c r="U6" s="79">
        <f t="shared" ca="1" si="3"/>
        <v>1049.7526995841883</v>
      </c>
      <c r="V6" s="79">
        <f t="shared" ca="1" si="3"/>
        <v>1049.7526995841883</v>
      </c>
      <c r="W6" s="79">
        <f t="shared" ca="1" si="3"/>
        <v>1049.7526995841883</v>
      </c>
      <c r="X6" s="79">
        <f t="shared" ca="1" si="3"/>
        <v>1049.7526995841883</v>
      </c>
      <c r="Y6" s="79">
        <f t="shared" ca="1" si="3"/>
        <v>1049.7526995841883</v>
      </c>
      <c r="Z6" s="79">
        <f t="shared" ca="1" si="3"/>
        <v>1049.7526995841883</v>
      </c>
      <c r="AA6" s="79">
        <f t="shared" ca="1" si="3"/>
        <v>1049.7526995841883</v>
      </c>
      <c r="AB6" s="79">
        <f t="shared" ca="1" si="3"/>
        <v>1049.7526995841883</v>
      </c>
      <c r="AC6" s="79">
        <f t="shared" ca="1" si="3"/>
        <v>1049.7526995841883</v>
      </c>
      <c r="AD6" s="79">
        <f t="shared" ca="1" si="3"/>
        <v>1049.7526995841883</v>
      </c>
      <c r="AE6" s="79">
        <f t="shared" ca="1" si="3"/>
        <v>1049.7526995841883</v>
      </c>
      <c r="AF6" s="79">
        <f t="shared" ca="1" si="3"/>
        <v>1049.7526995841883</v>
      </c>
      <c r="AG6" s="80">
        <f t="shared" ca="1" si="3"/>
        <v>1049.7526995841883</v>
      </c>
    </row>
    <row r="7" spans="2:33">
      <c r="B7" s="74" t="s">
        <v>179</v>
      </c>
      <c r="C7" s="75">
        <f ca="1">C6</f>
        <v>-2800.6788641662392</v>
      </c>
      <c r="D7" s="79">
        <f ca="1">(C7+D6)</f>
        <v>-1750.9261645820509</v>
      </c>
      <c r="E7" s="79">
        <f t="shared" ref="E7:AG7" ca="1" si="4">(D7+E6)</f>
        <v>-701.17346499786254</v>
      </c>
      <c r="F7" s="79">
        <f t="shared" ca="1" si="4"/>
        <v>348.57923458632581</v>
      </c>
      <c r="G7" s="79">
        <f t="shared" ca="1" si="4"/>
        <v>1398.3319341705142</v>
      </c>
      <c r="H7" s="79">
        <f t="shared" ca="1" si="4"/>
        <v>2448.0846337547027</v>
      </c>
      <c r="I7" s="79">
        <f t="shared" ca="1" si="4"/>
        <v>3497.8373333388909</v>
      </c>
      <c r="J7" s="79">
        <f t="shared" ca="1" si="4"/>
        <v>4547.590032923079</v>
      </c>
      <c r="K7" s="79">
        <f t="shared" ca="1" si="4"/>
        <v>5597.3427325072671</v>
      </c>
      <c r="L7" s="79">
        <f t="shared" ca="1" si="4"/>
        <v>6647.0954320914552</v>
      </c>
      <c r="M7" s="79">
        <f t="shared" ca="1" si="4"/>
        <v>7696.8481316756433</v>
      </c>
      <c r="N7" s="79">
        <f t="shared" ca="1" si="4"/>
        <v>8746.6008312598315</v>
      </c>
      <c r="O7" s="79">
        <f t="shared" ca="1" si="4"/>
        <v>9796.3535308440205</v>
      </c>
      <c r="P7" s="79">
        <f t="shared" ca="1" si="4"/>
        <v>10846.10623042821</v>
      </c>
      <c r="Q7" s="79">
        <f t="shared" ca="1" si="4"/>
        <v>11895.858930012399</v>
      </c>
      <c r="R7" s="79">
        <f t="shared" ca="1" si="4"/>
        <v>12945.611629596588</v>
      </c>
      <c r="S7" s="79">
        <f t="shared" ca="1" si="4"/>
        <v>13995.364329180777</v>
      </c>
      <c r="T7" s="79">
        <f t="shared" ca="1" si="4"/>
        <v>15045.117028764966</v>
      </c>
      <c r="U7" s="79">
        <f t="shared" ca="1" si="4"/>
        <v>16094.869728349155</v>
      </c>
      <c r="V7" s="79">
        <f t="shared" ca="1" si="4"/>
        <v>17144.622427933344</v>
      </c>
      <c r="W7" s="79">
        <f t="shared" ca="1" si="4"/>
        <v>18194.375127517531</v>
      </c>
      <c r="X7" s="79">
        <f t="shared" ca="1" si="4"/>
        <v>19244.127827101718</v>
      </c>
      <c r="Y7" s="79">
        <f t="shared" ca="1" si="4"/>
        <v>20293.880526685905</v>
      </c>
      <c r="Z7" s="79">
        <f t="shared" ca="1" si="4"/>
        <v>21343.633226270093</v>
      </c>
      <c r="AA7" s="79">
        <f t="shared" ca="1" si="4"/>
        <v>22393.38592585428</v>
      </c>
      <c r="AB7" s="79">
        <f t="shared" ca="1" si="4"/>
        <v>23443.138625438467</v>
      </c>
      <c r="AC7" s="79">
        <f t="shared" ca="1" si="4"/>
        <v>24492.891325022654</v>
      </c>
      <c r="AD7" s="79">
        <f t="shared" ca="1" si="4"/>
        <v>25542.644024606841</v>
      </c>
      <c r="AE7" s="79">
        <f t="shared" ca="1" si="4"/>
        <v>26592.396724191029</v>
      </c>
      <c r="AF7" s="79">
        <f t="shared" ca="1" si="4"/>
        <v>27642.149423775216</v>
      </c>
      <c r="AG7" s="80">
        <f t="shared" ca="1" si="4"/>
        <v>28691.902123359403</v>
      </c>
    </row>
    <row r="8" spans="2:33" hidden="1" outlineLevel="1">
      <c r="B8" s="81" t="s">
        <v>3</v>
      </c>
      <c r="C8" s="82"/>
      <c r="D8" s="83">
        <f t="shared" ref="D8:AG8" ca="1" si="5">IF(AND(C7&lt;0,D7&gt;=0),C3-C7/D6,0)</f>
        <v>0</v>
      </c>
      <c r="E8" s="83">
        <f t="shared" ca="1" si="5"/>
        <v>0</v>
      </c>
      <c r="F8" s="83">
        <f t="shared" ca="1" si="5"/>
        <v>2.6679415687862487</v>
      </c>
      <c r="G8" s="83">
        <f t="shared" ca="1" si="5"/>
        <v>0</v>
      </c>
      <c r="H8" s="83">
        <f t="shared" ca="1" si="5"/>
        <v>0</v>
      </c>
      <c r="I8" s="83">
        <f t="shared" ca="1" si="5"/>
        <v>0</v>
      </c>
      <c r="J8" s="83">
        <f t="shared" ca="1" si="5"/>
        <v>0</v>
      </c>
      <c r="K8" s="83">
        <f t="shared" ca="1" si="5"/>
        <v>0</v>
      </c>
      <c r="L8" s="83">
        <f t="shared" ca="1" si="5"/>
        <v>0</v>
      </c>
      <c r="M8" s="83">
        <f t="shared" ca="1" si="5"/>
        <v>0</v>
      </c>
      <c r="N8" s="83">
        <f t="shared" ca="1" si="5"/>
        <v>0</v>
      </c>
      <c r="O8" s="83">
        <f t="shared" ca="1" si="5"/>
        <v>0</v>
      </c>
      <c r="P8" s="83">
        <f t="shared" ca="1" si="5"/>
        <v>0</v>
      </c>
      <c r="Q8" s="83">
        <f t="shared" ca="1" si="5"/>
        <v>0</v>
      </c>
      <c r="R8" s="83">
        <f t="shared" ca="1" si="5"/>
        <v>0</v>
      </c>
      <c r="S8" s="83">
        <f t="shared" ca="1" si="5"/>
        <v>0</v>
      </c>
      <c r="T8" s="83">
        <f t="shared" ca="1" si="5"/>
        <v>0</v>
      </c>
      <c r="U8" s="83">
        <f t="shared" ca="1" si="5"/>
        <v>0</v>
      </c>
      <c r="V8" s="83">
        <f t="shared" ca="1" si="5"/>
        <v>0</v>
      </c>
      <c r="W8" s="83">
        <f t="shared" ca="1" si="5"/>
        <v>0</v>
      </c>
      <c r="X8" s="83">
        <f t="shared" ca="1" si="5"/>
        <v>0</v>
      </c>
      <c r="Y8" s="83">
        <f t="shared" ca="1" si="5"/>
        <v>0</v>
      </c>
      <c r="Z8" s="83">
        <f t="shared" ca="1" si="5"/>
        <v>0</v>
      </c>
      <c r="AA8" s="83">
        <f t="shared" ca="1" si="5"/>
        <v>0</v>
      </c>
      <c r="AB8" s="83">
        <f t="shared" ca="1" si="5"/>
        <v>0</v>
      </c>
      <c r="AC8" s="83">
        <f t="shared" ca="1" si="5"/>
        <v>0</v>
      </c>
      <c r="AD8" s="83">
        <f t="shared" ca="1" si="5"/>
        <v>0</v>
      </c>
      <c r="AE8" s="83">
        <f t="shared" ca="1" si="5"/>
        <v>0</v>
      </c>
      <c r="AF8" s="83">
        <f t="shared" ca="1" si="5"/>
        <v>0</v>
      </c>
      <c r="AG8" s="84">
        <f t="shared" ca="1" si="5"/>
        <v>0</v>
      </c>
    </row>
    <row r="9" spans="2:33" collapsed="1">
      <c r="B9" s="81" t="s">
        <v>3</v>
      </c>
      <c r="C9" s="82"/>
      <c r="D9" s="85" t="str">
        <f ca="1">IF(D8&gt;0,D8," ")</f>
        <v xml:space="preserve"> </v>
      </c>
      <c r="E9" s="85" t="str">
        <f t="shared" ref="E9:AG9" ca="1" si="6">IF(E8&gt;0,E8," ")</f>
        <v xml:space="preserve"> </v>
      </c>
      <c r="F9" s="85">
        <f t="shared" ca="1" si="6"/>
        <v>2.6679415687862487</v>
      </c>
      <c r="G9" s="85" t="str">
        <f t="shared" ca="1" si="6"/>
        <v xml:space="preserve"> </v>
      </c>
      <c r="H9" s="85" t="str">
        <f t="shared" ca="1" si="6"/>
        <v xml:space="preserve"> </v>
      </c>
      <c r="I9" s="85" t="str">
        <f t="shared" ca="1" si="6"/>
        <v xml:space="preserve"> </v>
      </c>
      <c r="J9" s="85" t="str">
        <f t="shared" ca="1" si="6"/>
        <v xml:space="preserve"> </v>
      </c>
      <c r="K9" s="85" t="str">
        <f t="shared" ca="1" si="6"/>
        <v xml:space="preserve"> </v>
      </c>
      <c r="L9" s="85" t="str">
        <f t="shared" ca="1" si="6"/>
        <v xml:space="preserve"> </v>
      </c>
      <c r="M9" s="85" t="str">
        <f t="shared" ca="1" si="6"/>
        <v xml:space="preserve"> </v>
      </c>
      <c r="N9" s="85" t="str">
        <f t="shared" ca="1" si="6"/>
        <v xml:space="preserve"> </v>
      </c>
      <c r="O9" s="85" t="str">
        <f t="shared" ca="1" si="6"/>
        <v xml:space="preserve"> </v>
      </c>
      <c r="P9" s="85" t="str">
        <f t="shared" ca="1" si="6"/>
        <v xml:space="preserve"> </v>
      </c>
      <c r="Q9" s="85" t="str">
        <f t="shared" ca="1" si="6"/>
        <v xml:space="preserve"> </v>
      </c>
      <c r="R9" s="85" t="str">
        <f t="shared" ca="1" si="6"/>
        <v xml:space="preserve"> </v>
      </c>
      <c r="S9" s="85" t="str">
        <f t="shared" ca="1" si="6"/>
        <v xml:space="preserve"> </v>
      </c>
      <c r="T9" s="85" t="str">
        <f t="shared" ca="1" si="6"/>
        <v xml:space="preserve"> </v>
      </c>
      <c r="U9" s="85" t="str">
        <f t="shared" ca="1" si="6"/>
        <v xml:space="preserve"> </v>
      </c>
      <c r="V9" s="85" t="str">
        <f t="shared" ca="1" si="6"/>
        <v xml:space="preserve"> </v>
      </c>
      <c r="W9" s="85" t="str">
        <f t="shared" ca="1" si="6"/>
        <v xml:space="preserve"> </v>
      </c>
      <c r="X9" s="85" t="str">
        <f t="shared" ca="1" si="6"/>
        <v xml:space="preserve"> </v>
      </c>
      <c r="Y9" s="85" t="str">
        <f t="shared" ca="1" si="6"/>
        <v xml:space="preserve"> </v>
      </c>
      <c r="Z9" s="85" t="str">
        <f t="shared" ca="1" si="6"/>
        <v xml:space="preserve"> </v>
      </c>
      <c r="AA9" s="85" t="str">
        <f t="shared" ca="1" si="6"/>
        <v xml:space="preserve"> </v>
      </c>
      <c r="AB9" s="85" t="str">
        <f t="shared" ca="1" si="6"/>
        <v xml:space="preserve"> </v>
      </c>
      <c r="AC9" s="85" t="str">
        <f t="shared" ca="1" si="6"/>
        <v xml:space="preserve"> </v>
      </c>
      <c r="AD9" s="85" t="str">
        <f t="shared" ca="1" si="6"/>
        <v xml:space="preserve"> </v>
      </c>
      <c r="AE9" s="85" t="str">
        <f t="shared" ca="1" si="6"/>
        <v xml:space="preserve"> </v>
      </c>
      <c r="AF9" s="85" t="str">
        <f t="shared" ca="1" si="6"/>
        <v xml:space="preserve"> </v>
      </c>
      <c r="AG9" s="86" t="str">
        <f t="shared" ca="1" si="6"/>
        <v xml:space="preserve"> </v>
      </c>
    </row>
    <row r="10" spans="2:33">
      <c r="B10" s="87" t="s">
        <v>4</v>
      </c>
      <c r="C10" s="88">
        <v>1</v>
      </c>
      <c r="D10" s="89">
        <f>C10/(1+Розрахунок!$E$8)</f>
        <v>0.90909090909090906</v>
      </c>
      <c r="E10" s="89">
        <f>D10/(1+Розрахунок!$E$8)</f>
        <v>0.82644628099173545</v>
      </c>
      <c r="F10" s="89">
        <f>E10/(1+Розрахунок!$E$8)</f>
        <v>0.75131480090157765</v>
      </c>
      <c r="G10" s="89">
        <f>F10/(1+Розрахунок!$E$8)</f>
        <v>0.68301345536507052</v>
      </c>
      <c r="H10" s="89">
        <f>G10/(1+Розрахунок!$E$8)</f>
        <v>0.62092132305915493</v>
      </c>
      <c r="I10" s="89">
        <f>H10/(1+Розрахунок!$E$8)</f>
        <v>0.56447393005377711</v>
      </c>
      <c r="J10" s="89">
        <f>I10/(1+Розрахунок!$E$8)</f>
        <v>0.51315811823070645</v>
      </c>
      <c r="K10" s="89">
        <f>J10/(1+Розрахунок!$E$8)</f>
        <v>0.46650738020973309</v>
      </c>
      <c r="L10" s="89">
        <f>K10/(1+Розрахунок!$E$8)</f>
        <v>0.42409761837248461</v>
      </c>
      <c r="M10" s="89">
        <f>L10/(1+Розрахунок!$E$8)</f>
        <v>0.38554328942953142</v>
      </c>
      <c r="N10" s="89">
        <f>M10/(1+Розрахунок!$E$8)</f>
        <v>0.35049389948139215</v>
      </c>
      <c r="O10" s="89">
        <f>N10/(1+Розрахунок!$E$8)</f>
        <v>0.31863081771035645</v>
      </c>
      <c r="P10" s="89">
        <f>O10/(1+Розрахунок!$E$8)</f>
        <v>0.28966437973668768</v>
      </c>
      <c r="Q10" s="89">
        <f>P10/(1+Розрахунок!$E$8)</f>
        <v>0.26333125430607968</v>
      </c>
      <c r="R10" s="89">
        <f>Q10/(1+Розрахунок!$E$8)</f>
        <v>0.23939204936916333</v>
      </c>
      <c r="S10" s="89">
        <f>R10/(1+Розрахунок!$E$8)</f>
        <v>0.21762913579014848</v>
      </c>
      <c r="T10" s="89">
        <f>S10/(1+Розрахунок!$E$8)</f>
        <v>0.19784466890013497</v>
      </c>
      <c r="U10" s="89">
        <f>T10/(1+Розрахунок!$E$8)</f>
        <v>0.17985878990921358</v>
      </c>
      <c r="V10" s="89">
        <f>U10/(1+Розрахунок!$E$8)</f>
        <v>0.16350799082655779</v>
      </c>
      <c r="W10" s="89">
        <f>V10/(1+Розрахунок!$E$8)</f>
        <v>0.14864362802414344</v>
      </c>
      <c r="X10" s="89">
        <f>W10/(1+Розрахунок!$E$8)</f>
        <v>0.13513057093103947</v>
      </c>
      <c r="Y10" s="89">
        <f>X10/(1+Розрахунок!$E$8)</f>
        <v>0.12284597357367223</v>
      </c>
      <c r="Z10" s="89">
        <f>Y10/(1+Розрахунок!$E$8)</f>
        <v>0.11167815779424747</v>
      </c>
      <c r="AA10" s="89">
        <f>Z10/(1+Розрахунок!$E$8)</f>
        <v>0.10152559799477043</v>
      </c>
      <c r="AB10" s="89">
        <f>AA10/(1+Розрахунок!$E$8)</f>
        <v>9.229599817706402E-2</v>
      </c>
      <c r="AC10" s="89">
        <f>AB10/(1+Розрахунок!$E$8)</f>
        <v>8.3905452888240015E-2</v>
      </c>
      <c r="AD10" s="89">
        <f>AC10/(1+Розрахунок!$E$8)</f>
        <v>7.6277684443854549E-2</v>
      </c>
      <c r="AE10" s="89">
        <f>AD10/(1+Розрахунок!$E$8)</f>
        <v>6.9343349494413217E-2</v>
      </c>
      <c r="AF10" s="89">
        <f>AE10/(1+Розрахунок!$E$8)</f>
        <v>6.3039408631284738E-2</v>
      </c>
      <c r="AG10" s="89">
        <f>AF10/(1+Розрахунок!$E$8)</f>
        <v>5.7308553301167936E-2</v>
      </c>
    </row>
    <row r="11" spans="2:33" ht="24">
      <c r="B11" s="90" t="s">
        <v>180</v>
      </c>
      <c r="C11" s="88"/>
      <c r="D11" s="76">
        <f ca="1">D6*D10</f>
        <v>954.3206359856257</v>
      </c>
      <c r="E11" s="76">
        <f t="shared" ref="E11:AG11" ca="1" si="7">E6*E10</f>
        <v>867.56421453238693</v>
      </c>
      <c r="F11" s="76">
        <f t="shared" ca="1" si="7"/>
        <v>788.69474048398808</v>
      </c>
      <c r="G11" s="76">
        <f t="shared" ca="1" si="7"/>
        <v>716.99521862180734</v>
      </c>
      <c r="H11" s="76">
        <f t="shared" ca="1" si="7"/>
        <v>651.81383511073386</v>
      </c>
      <c r="I11" s="76">
        <f t="shared" ca="1" si="7"/>
        <v>592.55803191884877</v>
      </c>
      <c r="J11" s="76">
        <f t="shared" ca="1" si="7"/>
        <v>538.68911992622623</v>
      </c>
      <c r="K11" s="76">
        <f t="shared" ca="1" si="7"/>
        <v>489.71738175111466</v>
      </c>
      <c r="L11" s="91">
        <f t="shared" ca="1" si="7"/>
        <v>445.1976197737406</v>
      </c>
      <c r="M11" s="91">
        <f t="shared" ca="1" si="7"/>
        <v>404.72510888521867</v>
      </c>
      <c r="N11" s="91">
        <f t="shared" ca="1" si="7"/>
        <v>367.93191716838055</v>
      </c>
      <c r="O11" s="91">
        <f t="shared" ca="1" si="7"/>
        <v>334.48356106216409</v>
      </c>
      <c r="P11" s="91">
        <f t="shared" ca="1" si="7"/>
        <v>304.07596460196737</v>
      </c>
      <c r="Q11" s="91">
        <f t="shared" ca="1" si="7"/>
        <v>276.43269509269754</v>
      </c>
      <c r="R11" s="91">
        <f t="shared" ca="1" si="7"/>
        <v>251.3024500842705</v>
      </c>
      <c r="S11" s="91">
        <f t="shared" ca="1" si="7"/>
        <v>228.45677280388227</v>
      </c>
      <c r="T11" s="91">
        <f t="shared" ca="1" si="7"/>
        <v>207.68797527625659</v>
      </c>
      <c r="U11" s="91">
        <f t="shared" ca="1" si="7"/>
        <v>188.80725025114234</v>
      </c>
      <c r="V11" s="91">
        <f t="shared" ca="1" si="7"/>
        <v>171.64295477376575</v>
      </c>
      <c r="W11" s="91">
        <f t="shared" ca="1" si="7"/>
        <v>156.0390497943325</v>
      </c>
      <c r="X11" s="91">
        <f t="shared" ca="1" si="7"/>
        <v>141.85368163121134</v>
      </c>
      <c r="Y11" s="91">
        <f t="shared" ca="1" si="7"/>
        <v>128.95789239201028</v>
      </c>
      <c r="Z11" s="91">
        <f t="shared" ca="1" si="7"/>
        <v>117.23444762910025</v>
      </c>
      <c r="AA11" s="91">
        <f t="shared" ca="1" si="7"/>
        <v>106.57677057190932</v>
      </c>
      <c r="AB11" s="91">
        <f t="shared" ca="1" si="7"/>
        <v>96.887973247190288</v>
      </c>
      <c r="AC11" s="91">
        <f t="shared" ca="1" si="7"/>
        <v>88.079975679263882</v>
      </c>
      <c r="AD11" s="91">
        <f t="shared" ca="1" si="7"/>
        <v>80.072705162967168</v>
      </c>
      <c r="AE11" s="91">
        <f t="shared" ca="1" si="7"/>
        <v>72.793368329970136</v>
      </c>
      <c r="AF11" s="91">
        <f t="shared" ca="1" si="7"/>
        <v>66.175789390881931</v>
      </c>
      <c r="AG11" s="92">
        <f t="shared" ca="1" si="7"/>
        <v>60.159808537165389</v>
      </c>
    </row>
    <row r="12" spans="2:33" ht="24">
      <c r="B12" s="90" t="s">
        <v>181</v>
      </c>
      <c r="C12" s="75">
        <f ca="1">C6</f>
        <v>-2800.6788641662392</v>
      </c>
      <c r="D12" s="79">
        <f ca="1">(C12+D11)</f>
        <v>-1846.3582281806134</v>
      </c>
      <c r="E12" s="79">
        <f t="shared" ref="E12:AG12" ca="1" si="8">(D12+E11)</f>
        <v>-978.7940136482265</v>
      </c>
      <c r="F12" s="79">
        <f t="shared" ca="1" si="8"/>
        <v>-190.09927316423841</v>
      </c>
      <c r="G12" s="79">
        <f t="shared" ca="1" si="8"/>
        <v>526.89594545756893</v>
      </c>
      <c r="H12" s="79">
        <f t="shared" ca="1" si="8"/>
        <v>1178.7097805683029</v>
      </c>
      <c r="I12" s="79">
        <f t="shared" ca="1" si="8"/>
        <v>1771.2678124871518</v>
      </c>
      <c r="J12" s="79">
        <f t="shared" ca="1" si="8"/>
        <v>2309.9569324133781</v>
      </c>
      <c r="K12" s="79">
        <f t="shared" ca="1" si="8"/>
        <v>2799.6743141644929</v>
      </c>
      <c r="L12" s="79">
        <f t="shared" ca="1" si="8"/>
        <v>3244.8719339382333</v>
      </c>
      <c r="M12" s="79">
        <f t="shared" ca="1" si="8"/>
        <v>3649.5970428234518</v>
      </c>
      <c r="N12" s="79">
        <f t="shared" ca="1" si="8"/>
        <v>4017.5289599918324</v>
      </c>
      <c r="O12" s="79">
        <f t="shared" ca="1" si="8"/>
        <v>4352.0125210539964</v>
      </c>
      <c r="P12" s="79">
        <f t="shared" ca="1" si="8"/>
        <v>4656.0884856559642</v>
      </c>
      <c r="Q12" s="79">
        <f t="shared" ca="1" si="8"/>
        <v>4932.5211807486621</v>
      </c>
      <c r="R12" s="79">
        <f t="shared" ca="1" si="8"/>
        <v>5183.8236308329324</v>
      </c>
      <c r="S12" s="79">
        <f t="shared" ca="1" si="8"/>
        <v>5412.2804036368143</v>
      </c>
      <c r="T12" s="79">
        <f t="shared" ca="1" si="8"/>
        <v>5619.9683789130713</v>
      </c>
      <c r="U12" s="79">
        <f t="shared" ca="1" si="8"/>
        <v>5808.7756291642136</v>
      </c>
      <c r="V12" s="79">
        <f t="shared" ca="1" si="8"/>
        <v>5980.4185839379797</v>
      </c>
      <c r="W12" s="79">
        <f t="shared" ca="1" si="8"/>
        <v>6136.4576337323124</v>
      </c>
      <c r="X12" s="79">
        <f t="shared" ca="1" si="8"/>
        <v>6278.311315363524</v>
      </c>
      <c r="Y12" s="79">
        <f t="shared" ca="1" si="8"/>
        <v>6407.2692077555339</v>
      </c>
      <c r="Z12" s="79">
        <f t="shared" ca="1" si="8"/>
        <v>6524.5036553846339</v>
      </c>
      <c r="AA12" s="79">
        <f t="shared" ca="1" si="8"/>
        <v>6631.080425956543</v>
      </c>
      <c r="AB12" s="79">
        <f t="shared" ca="1" si="8"/>
        <v>6727.9683992037335</v>
      </c>
      <c r="AC12" s="79">
        <f t="shared" ca="1" si="8"/>
        <v>6816.0483748829975</v>
      </c>
      <c r="AD12" s="79">
        <f t="shared" ca="1" si="8"/>
        <v>6896.1210800459648</v>
      </c>
      <c r="AE12" s="79">
        <f t="shared" ca="1" si="8"/>
        <v>6968.9144483759346</v>
      </c>
      <c r="AF12" s="79">
        <f t="shared" ca="1" si="8"/>
        <v>7035.0902377668162</v>
      </c>
      <c r="AG12" s="80">
        <f t="shared" ca="1" si="8"/>
        <v>7095.2500463039814</v>
      </c>
    </row>
    <row r="13" spans="2:33" hidden="1" outlineLevel="1">
      <c r="B13" s="93" t="s">
        <v>5</v>
      </c>
      <c r="C13" s="94"/>
      <c r="D13" s="85">
        <f t="shared" ref="D13:AG13" ca="1" si="9">IF(AND(C12&lt;0,D12&gt;=0),D3-D12/D11,0)</f>
        <v>0</v>
      </c>
      <c r="E13" s="85">
        <f t="shared" ca="1" si="9"/>
        <v>0</v>
      </c>
      <c r="F13" s="85">
        <f t="shared" ca="1" si="9"/>
        <v>0</v>
      </c>
      <c r="G13" s="85">
        <f t="shared" ca="1" si="9"/>
        <v>3.2651332508599475</v>
      </c>
      <c r="H13" s="85">
        <f t="shared" ca="1" si="9"/>
        <v>0</v>
      </c>
      <c r="I13" s="85">
        <f t="shared" ca="1" si="9"/>
        <v>0</v>
      </c>
      <c r="J13" s="85">
        <f t="shared" ca="1" si="9"/>
        <v>0</v>
      </c>
      <c r="K13" s="85">
        <f t="shared" ca="1" si="9"/>
        <v>0</v>
      </c>
      <c r="L13" s="85">
        <f t="shared" ca="1" si="9"/>
        <v>0</v>
      </c>
      <c r="M13" s="85">
        <f t="shared" ca="1" si="9"/>
        <v>0</v>
      </c>
      <c r="N13" s="85">
        <f t="shared" ca="1" si="9"/>
        <v>0</v>
      </c>
      <c r="O13" s="85">
        <f t="shared" ca="1" si="9"/>
        <v>0</v>
      </c>
      <c r="P13" s="85">
        <f t="shared" ca="1" si="9"/>
        <v>0</v>
      </c>
      <c r="Q13" s="85">
        <f t="shared" ca="1" si="9"/>
        <v>0</v>
      </c>
      <c r="R13" s="85">
        <f t="shared" ca="1" si="9"/>
        <v>0</v>
      </c>
      <c r="S13" s="85">
        <f t="shared" ca="1" si="9"/>
        <v>0</v>
      </c>
      <c r="T13" s="85">
        <f t="shared" ca="1" si="9"/>
        <v>0</v>
      </c>
      <c r="U13" s="85">
        <f t="shared" ca="1" si="9"/>
        <v>0</v>
      </c>
      <c r="V13" s="85">
        <f t="shared" ca="1" si="9"/>
        <v>0</v>
      </c>
      <c r="W13" s="85">
        <f t="shared" ca="1" si="9"/>
        <v>0</v>
      </c>
      <c r="X13" s="85">
        <f t="shared" ca="1" si="9"/>
        <v>0</v>
      </c>
      <c r="Y13" s="85">
        <f t="shared" ca="1" si="9"/>
        <v>0</v>
      </c>
      <c r="Z13" s="85">
        <f t="shared" ca="1" si="9"/>
        <v>0</v>
      </c>
      <c r="AA13" s="85">
        <f t="shared" ca="1" si="9"/>
        <v>0</v>
      </c>
      <c r="AB13" s="85">
        <f t="shared" ca="1" si="9"/>
        <v>0</v>
      </c>
      <c r="AC13" s="85">
        <f t="shared" ca="1" si="9"/>
        <v>0</v>
      </c>
      <c r="AD13" s="85">
        <f t="shared" ca="1" si="9"/>
        <v>0</v>
      </c>
      <c r="AE13" s="85">
        <f t="shared" ca="1" si="9"/>
        <v>0</v>
      </c>
      <c r="AF13" s="85">
        <f t="shared" ca="1" si="9"/>
        <v>0</v>
      </c>
      <c r="AG13" s="86">
        <f t="shared" ca="1" si="9"/>
        <v>0</v>
      </c>
    </row>
    <row r="14" spans="2:33" ht="13.5" collapsed="1" thickBot="1">
      <c r="B14" s="95" t="s">
        <v>5</v>
      </c>
      <c r="C14" s="96"/>
      <c r="D14" s="97" t="str">
        <f t="shared" ref="D14:R14" ca="1" si="10">IF(D13&gt;0,D13," ")</f>
        <v xml:space="preserve"> </v>
      </c>
      <c r="E14" s="97" t="str">
        <f t="shared" ca="1" si="10"/>
        <v xml:space="preserve"> </v>
      </c>
      <c r="F14" s="97" t="str">
        <f t="shared" ca="1" si="10"/>
        <v xml:space="preserve"> </v>
      </c>
      <c r="G14" s="97">
        <f t="shared" ca="1" si="10"/>
        <v>3.2651332508599475</v>
      </c>
      <c r="H14" s="97" t="str">
        <f t="shared" ca="1" si="10"/>
        <v xml:space="preserve"> </v>
      </c>
      <c r="I14" s="97" t="str">
        <f t="shared" ca="1" si="10"/>
        <v xml:space="preserve"> </v>
      </c>
      <c r="J14" s="97" t="str">
        <f t="shared" ca="1" si="10"/>
        <v xml:space="preserve"> </v>
      </c>
      <c r="K14" s="97" t="str">
        <f t="shared" ca="1" si="10"/>
        <v xml:space="preserve"> </v>
      </c>
      <c r="L14" s="97" t="str">
        <f t="shared" ca="1" si="10"/>
        <v xml:space="preserve"> </v>
      </c>
      <c r="M14" s="97" t="str">
        <f t="shared" ca="1" si="10"/>
        <v xml:space="preserve"> </v>
      </c>
      <c r="N14" s="97" t="str">
        <f t="shared" ca="1" si="10"/>
        <v xml:space="preserve"> </v>
      </c>
      <c r="O14" s="97" t="str">
        <f t="shared" ca="1" si="10"/>
        <v xml:space="preserve"> </v>
      </c>
      <c r="P14" s="97" t="str">
        <f t="shared" ca="1" si="10"/>
        <v xml:space="preserve"> </v>
      </c>
      <c r="Q14" s="97" t="str">
        <f t="shared" ca="1" si="10"/>
        <v xml:space="preserve"> </v>
      </c>
      <c r="R14" s="97" t="str">
        <f t="shared" ca="1" si="10"/>
        <v xml:space="preserve"> </v>
      </c>
      <c r="S14" s="97" t="str">
        <f ca="1">IF(S13&gt;0,S13," ")</f>
        <v xml:space="preserve"> </v>
      </c>
      <c r="T14" s="97" t="str">
        <f ca="1">IF(T13&gt;0,T13," ")</f>
        <v xml:space="preserve"> </v>
      </c>
      <c r="U14" s="97" t="str">
        <f ca="1">IF(U13&gt;0,U13," ")</f>
        <v xml:space="preserve"> </v>
      </c>
      <c r="V14" s="97" t="str">
        <f ca="1">IF(V13&gt;0,V13," ")</f>
        <v xml:space="preserve"> </v>
      </c>
      <c r="W14" s="97" t="str">
        <f ca="1">IF(W13&gt;0,W13," ")</f>
        <v xml:space="preserve"> </v>
      </c>
      <c r="X14" s="97" t="str">
        <f t="shared" ref="X14:AG14" ca="1" si="11">IF(X13&gt;0,X13," ")</f>
        <v xml:space="preserve"> </v>
      </c>
      <c r="Y14" s="97" t="str">
        <f t="shared" ca="1" si="11"/>
        <v xml:space="preserve"> </v>
      </c>
      <c r="Z14" s="97" t="str">
        <f t="shared" ca="1" si="11"/>
        <v xml:space="preserve"> </v>
      </c>
      <c r="AA14" s="97" t="str">
        <f t="shared" ca="1" si="11"/>
        <v xml:space="preserve"> </v>
      </c>
      <c r="AB14" s="97" t="str">
        <f t="shared" ca="1" si="11"/>
        <v xml:space="preserve"> </v>
      </c>
      <c r="AC14" s="97" t="str">
        <f t="shared" ca="1" si="11"/>
        <v xml:space="preserve"> </v>
      </c>
      <c r="AD14" s="97" t="str">
        <f t="shared" ca="1" si="11"/>
        <v xml:space="preserve"> </v>
      </c>
      <c r="AE14" s="97" t="str">
        <f t="shared" ca="1" si="11"/>
        <v xml:space="preserve"> </v>
      </c>
      <c r="AF14" s="97" t="str">
        <f t="shared" ca="1" si="11"/>
        <v xml:space="preserve"> </v>
      </c>
      <c r="AG14" s="98" t="str">
        <f t="shared" ca="1" si="11"/>
        <v xml:space="preserve"> </v>
      </c>
    </row>
    <row r="15" spans="2:33">
      <c r="B15" s="99" t="s">
        <v>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</row>
    <row r="16" spans="2:33">
      <c r="B16" s="102" t="s">
        <v>7</v>
      </c>
      <c r="C16" s="103">
        <f ca="1">NPV(Розрахунок!$E$8,C6:S6)</f>
        <v>4920.2549123971021</v>
      </c>
      <c r="D16" s="104" t="s">
        <v>182</v>
      </c>
      <c r="E16" s="105"/>
      <c r="F16" s="106"/>
      <c r="G16" s="107"/>
      <c r="H16" s="107"/>
      <c r="I16" s="107"/>
      <c r="J16" s="107"/>
      <c r="K16" s="108"/>
      <c r="L16" s="108"/>
      <c r="M16" s="108"/>
      <c r="N16" s="108"/>
      <c r="O16" s="108"/>
      <c r="P16" s="108"/>
      <c r="Q16" s="108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</row>
    <row r="17" spans="2:33">
      <c r="B17" s="109" t="s">
        <v>9</v>
      </c>
      <c r="C17" s="110">
        <f ca="1">IRR(C6:S6,Розрахунок!$E$8)</f>
        <v>0.37245569807308931</v>
      </c>
      <c r="D17" s="111"/>
      <c r="E17" s="107"/>
      <c r="F17" s="107"/>
      <c r="G17" s="107"/>
      <c r="H17" s="107"/>
      <c r="I17" s="107"/>
      <c r="J17" s="107"/>
      <c r="K17" s="108"/>
      <c r="L17" s="107"/>
      <c r="M17" s="107"/>
      <c r="N17" s="107"/>
      <c r="O17" s="107"/>
      <c r="P17" s="107"/>
      <c r="Q17" s="107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</row>
    <row r="18" spans="2:33">
      <c r="B18" s="102" t="s">
        <v>3</v>
      </c>
      <c r="C18" s="112">
        <f ca="1">SUM(C9:AG9)</f>
        <v>2.6679415687862487</v>
      </c>
      <c r="D18" s="111" t="s">
        <v>38</v>
      </c>
      <c r="E18" s="101"/>
      <c r="F18" s="101"/>
      <c r="G18" s="101"/>
      <c r="H18" s="101"/>
      <c r="I18" s="101"/>
      <c r="J18" s="107"/>
      <c r="K18" s="107"/>
      <c r="L18" s="107"/>
      <c r="M18" s="107"/>
      <c r="N18" s="107"/>
      <c r="O18" s="107"/>
      <c r="P18" s="107"/>
      <c r="Q18" s="107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</row>
    <row r="19" spans="2:33">
      <c r="B19" s="109" t="s">
        <v>8</v>
      </c>
      <c r="C19" s="113">
        <f ca="1">SUM(D14:AG14)</f>
        <v>3.2651332508599475</v>
      </c>
      <c r="D19" s="111" t="s">
        <v>38</v>
      </c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</row>
    <row r="62" ht="16.5" customHeight="1"/>
  </sheetData>
  <mergeCells count="2">
    <mergeCell ref="B2:B3"/>
    <mergeCell ref="C2:AG2"/>
  </mergeCells>
  <conditionalFormatting sqref="D13:AG14 D3:AG5 D7:AG11">
    <cfRule type="expression" dxfId="3" priority="2" stopIfTrue="1">
      <formula>#REF!=0</formula>
    </cfRule>
  </conditionalFormatting>
  <conditionalFormatting sqref="D12:AG12">
    <cfRule type="expression" dxfId="2" priority="1" stopIfTrue="1">
      <formula>#REF!=0</formula>
    </cfRule>
  </conditionalFormatting>
  <pageMargins left="0.25" right="0.25" top="0.75" bottom="0.75" header="0.3" footer="0.3"/>
  <pageSetup paperSize="9" scale="10" orientation="landscape" verticalDpi="1200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7"/>
  <sheetViews>
    <sheetView tabSelected="1" topLeftCell="A27" zoomScale="85" zoomScaleNormal="85" workbookViewId="0">
      <selection activeCell="F87" sqref="F87"/>
    </sheetView>
  </sheetViews>
  <sheetFormatPr defaultRowHeight="11.25" outlineLevelCol="1"/>
  <cols>
    <col min="1" max="1" width="34" style="26" customWidth="1"/>
    <col min="2" max="3" width="11.7109375" style="26" customWidth="1"/>
    <col min="4" max="4" width="17" style="26" customWidth="1"/>
    <col min="5" max="5" width="13.28515625" style="26" customWidth="1"/>
    <col min="6" max="6" width="18.42578125" style="26" customWidth="1"/>
    <col min="7" max="18" width="9.140625" style="26" hidden="1" customWidth="1" outlineLevel="1"/>
    <col min="19" max="19" width="47.85546875" style="26" hidden="1" customWidth="1" outlineLevel="1"/>
    <col min="20" max="20" width="15.85546875" style="26" hidden="1" customWidth="1" outlineLevel="1"/>
    <col min="21" max="21" width="14" style="26" hidden="1" customWidth="1" outlineLevel="1"/>
    <col min="22" max="22" width="10" style="26" hidden="1" customWidth="1" outlineLevel="1"/>
    <col min="23" max="23" width="9.140625" style="26" hidden="1" customWidth="1" outlineLevel="1"/>
    <col min="24" max="24" width="10" style="26" hidden="1" customWidth="1" outlineLevel="1"/>
    <col min="25" max="25" width="10.7109375" style="26" hidden="1" customWidth="1" outlineLevel="1"/>
    <col min="26" max="26" width="10.42578125" style="26" hidden="1" customWidth="1" outlineLevel="1"/>
    <col min="27" max="30" width="11.140625" style="26" hidden="1" customWidth="1" outlineLevel="1"/>
    <col min="31" max="31" width="14.85546875" style="26" hidden="1" customWidth="1" outlineLevel="1"/>
    <col min="32" max="32" width="21.42578125" style="26" hidden="1" customWidth="1" outlineLevel="1"/>
    <col min="33" max="33" width="10" style="26" hidden="1" customWidth="1" outlineLevel="1"/>
    <col min="34" max="34" width="9.140625" style="26" collapsed="1"/>
    <col min="35" max="37" width="10" style="26" bestFit="1" customWidth="1"/>
    <col min="38" max="16384" width="9.140625" style="26"/>
  </cols>
  <sheetData>
    <row r="1" spans="1:31" ht="15.75" thickBot="1">
      <c r="A1" s="51" t="s">
        <v>138</v>
      </c>
      <c r="B1" s="140">
        <f>MATCH(Розрахунок!$B$15,Списки!$A$2:$A$4,0)</f>
        <v>1</v>
      </c>
      <c r="I1" s="312" t="s">
        <v>63</v>
      </c>
      <c r="J1" s="313"/>
      <c r="K1" s="313"/>
      <c r="L1" s="313"/>
      <c r="M1" s="313"/>
      <c r="N1" s="7"/>
      <c r="O1" s="7" t="s">
        <v>44</v>
      </c>
      <c r="P1" s="7"/>
      <c r="Q1" s="7" t="s">
        <v>45</v>
      </c>
      <c r="S1" s="24" t="s">
        <v>71</v>
      </c>
      <c r="T1" s="121">
        <f ca="1">Розрахунок!E41+(IF(Розрахунок!E44&gt;0,1,0))</f>
        <v>2</v>
      </c>
      <c r="U1" s="314" t="s">
        <v>70</v>
      </c>
      <c r="V1" s="314" t="s">
        <v>71</v>
      </c>
      <c r="W1" s="314" t="s">
        <v>72</v>
      </c>
      <c r="X1" s="314"/>
      <c r="Y1" s="314"/>
      <c r="Z1" s="314"/>
      <c r="AA1" s="314"/>
      <c r="AB1" s="314"/>
      <c r="AC1" s="17"/>
      <c r="AD1" s="17"/>
      <c r="AE1" s="17"/>
    </row>
    <row r="2" spans="1:31" ht="90">
      <c r="A2" s="26" t="s">
        <v>163</v>
      </c>
      <c r="I2" s="8" t="s">
        <v>64</v>
      </c>
      <c r="J2" s="9" t="s">
        <v>41</v>
      </c>
      <c r="K2" s="10" t="s">
        <v>42</v>
      </c>
      <c r="L2" s="11" t="s">
        <v>65</v>
      </c>
      <c r="M2" s="12" t="s">
        <v>43</v>
      </c>
      <c r="N2" s="7">
        <f t="shared" ref="N2:N14" si="0">N3+1</f>
        <v>14</v>
      </c>
      <c r="O2" s="6">
        <v>739.58102534822228</v>
      </c>
      <c r="P2" s="6"/>
      <c r="Q2" s="6">
        <v>-1183.1966109232058</v>
      </c>
      <c r="S2" s="24" t="s">
        <v>72</v>
      </c>
      <c r="T2" s="122">
        <f ca="1">(Розрахунок!E43+Розрахунок!E44)/Списки!T1</f>
        <v>0.5</v>
      </c>
      <c r="U2" s="314"/>
      <c r="V2" s="314"/>
      <c r="W2" s="130">
        <v>1</v>
      </c>
      <c r="X2" s="130">
        <v>8</v>
      </c>
      <c r="Y2" s="130">
        <v>15</v>
      </c>
      <c r="Z2" s="130">
        <v>30</v>
      </c>
      <c r="AA2" s="130">
        <v>50</v>
      </c>
      <c r="AB2" s="130">
        <v>75</v>
      </c>
      <c r="AC2" s="17"/>
      <c r="AD2" s="17"/>
      <c r="AE2" s="17"/>
    </row>
    <row r="3" spans="1:31" ht="34.5" thickBot="1">
      <c r="A3" s="26" t="s">
        <v>170</v>
      </c>
      <c r="I3" s="136">
        <f ca="1">IF(Розрахунок!E43/(Розрахунок!E35/(1-Розрахунок!E27)/(1-0.022))&gt;1,1,Розрахунок!E43/(Розрахунок!E35/(1-Розрахунок!E27)/(1-0.022)))</f>
        <v>1</v>
      </c>
      <c r="J3" s="13">
        <f ca="1">IF(I3&lt;0.287,1,Q2*I3^14 +Q3*I3^13+Q4*I3^12 + Q5*I3^11 +Q6*I3^10+Q7*I3^9+Q8*I3^8+Q9*I3^7+Q10*I3^6+Q11*I3^5+Q12*I3^4+Q13*I3^3+Q14*I3^2+Q15*I3^1+Q16*I3^0)</f>
        <v>4.8708691661403236E-4</v>
      </c>
      <c r="K3" s="13">
        <f>O2/15 +O3/14 +O4/13 +O5/12 +O6/11 +O7/10 + O8/9+O9/8+O10/7+O11/6+O12/5+O13/4+O14/3+O15/2+O16/1</f>
        <v>0.49863485188189438</v>
      </c>
      <c r="L3" s="13">
        <f ca="1">(O2/15 +O3/14 +O4/13 +O5/12 +O6/11 +O7/10 + O8/9+O9/8+O10/7+O11/6+O12/5+O13/4+O14/3+O15/2+O16/1)-(O2*J3^15/15 +O3*J3^14/14+O4*J3^13/13+O5*J3^12/12+O6*J3^11/11+O7*J3^10/10+ O8*J3^9/9+ O9*J3^8/8+ O10*J3^7/7+ O11*J3^6/6+ O12*J3^5/5+ O13*J3^4/4+ O14*J3^3/3+ O15*J3^2/2+ O16*J3^1/1)+I3*J3</f>
        <v>0.49863213735553852</v>
      </c>
      <c r="M3" s="14">
        <f ca="1">L3/K3</f>
        <v>0.99999455608378429</v>
      </c>
      <c r="N3" s="7">
        <f t="shared" si="0"/>
        <v>13</v>
      </c>
      <c r="O3" s="6">
        <v>-1664.8991655129678</v>
      </c>
      <c r="P3" s="6"/>
      <c r="Q3" s="6">
        <v>2676.5862791442714</v>
      </c>
      <c r="S3" s="24" t="s">
        <v>73</v>
      </c>
      <c r="T3" s="123">
        <f ca="1">INDEX(Списки!$W$12:$AB$16,IF(T1&gt;5,5,T1),IF(ISERROR(MATCH(IF(T2&lt;1,1,T2),Списки!$W$11:$AB$11,0))=TRUE,MATCH(IF(T2&lt;1,1,T2),Списки!$W$11:$AB$11,1)+1,MATCH(IF(T2&lt;1,1,T2),Списки!$W$11:$AB$11,0)))</f>
        <v>0.86</v>
      </c>
      <c r="U3" s="314"/>
      <c r="V3" s="314"/>
      <c r="W3" s="314" t="s">
        <v>73</v>
      </c>
      <c r="X3" s="314"/>
      <c r="Y3" s="314"/>
      <c r="Z3" s="314"/>
      <c r="AA3" s="314"/>
      <c r="AB3" s="314"/>
      <c r="AC3" s="17"/>
      <c r="AD3" s="17"/>
      <c r="AE3" s="17"/>
    </row>
    <row r="4" spans="1:31" ht="22.5">
      <c r="A4" s="26" t="s">
        <v>164</v>
      </c>
      <c r="I4" s="7"/>
      <c r="J4" s="7"/>
      <c r="K4" s="7"/>
      <c r="L4" s="7"/>
      <c r="M4" s="7"/>
      <c r="N4" s="7">
        <f t="shared" si="0"/>
        <v>12</v>
      </c>
      <c r="O4" s="6">
        <v>0</v>
      </c>
      <c r="P4" s="6"/>
      <c r="Q4" s="6">
        <v>0</v>
      </c>
      <c r="S4" s="24" t="s">
        <v>81</v>
      </c>
      <c r="T4" s="124"/>
      <c r="U4" s="130">
        <v>1</v>
      </c>
      <c r="V4" s="130">
        <v>1</v>
      </c>
      <c r="W4" s="130">
        <v>0.69</v>
      </c>
      <c r="X4" s="130">
        <v>0.86</v>
      </c>
      <c r="Y4" s="130">
        <v>0.9</v>
      </c>
      <c r="Z4" s="131">
        <f>(Y4+Z5)/2</f>
        <v>1.05</v>
      </c>
      <c r="AA4" s="131">
        <f>(Z4+AA5)/2</f>
        <v>1.2850000000000001</v>
      </c>
      <c r="AB4" s="131">
        <f>(AA4+AB5)/2</f>
        <v>1.5675000000000001</v>
      </c>
      <c r="AC4" s="157"/>
      <c r="AD4" s="157"/>
      <c r="AE4" s="157"/>
    </row>
    <row r="5" spans="1:31" ht="15">
      <c r="I5" s="40"/>
      <c r="M5" s="1"/>
      <c r="N5" s="7">
        <f t="shared" si="0"/>
        <v>11</v>
      </c>
      <c r="O5" s="6">
        <v>1840.964989210225</v>
      </c>
      <c r="P5" s="6"/>
      <c r="Q5" s="6">
        <v>0</v>
      </c>
      <c r="S5" s="24" t="s">
        <v>82</v>
      </c>
      <c r="T5" s="125"/>
      <c r="U5" s="130">
        <v>2</v>
      </c>
      <c r="V5" s="130">
        <v>2</v>
      </c>
      <c r="W5" s="130">
        <v>0.86</v>
      </c>
      <c r="X5" s="130">
        <v>1.08</v>
      </c>
      <c r="Y5" s="130">
        <v>1.1299999999999999</v>
      </c>
      <c r="Z5" s="130">
        <v>1.2</v>
      </c>
      <c r="AA5" s="131">
        <f>(Z5+AA6)/2</f>
        <v>1.52</v>
      </c>
      <c r="AB5" s="131">
        <f>(AA5+AB6)/2</f>
        <v>1.85</v>
      </c>
      <c r="AC5" s="157"/>
      <c r="AD5" s="157"/>
      <c r="AE5" s="157"/>
    </row>
    <row r="6" spans="1:31" ht="22.5">
      <c r="A6" s="51" t="s">
        <v>166</v>
      </c>
      <c r="B6" s="140">
        <f>MATCH(Розрахунок!D40,Списки!$A$7:$A$9,0)</f>
        <v>3</v>
      </c>
      <c r="M6" s="1"/>
      <c r="N6" s="7">
        <f t="shared" si="0"/>
        <v>10</v>
      </c>
      <c r="O6" s="6">
        <v>0</v>
      </c>
      <c r="P6" s="6"/>
      <c r="Q6" s="6">
        <v>-10823.065130296012</v>
      </c>
      <c r="S6" s="120" t="s">
        <v>47</v>
      </c>
      <c r="T6" s="117">
        <v>1.1499999999999999</v>
      </c>
      <c r="U6" s="130">
        <v>3</v>
      </c>
      <c r="V6" s="130">
        <v>3</v>
      </c>
      <c r="W6" s="130">
        <v>1.29</v>
      </c>
      <c r="X6" s="130">
        <v>1.61</v>
      </c>
      <c r="Y6" s="130">
        <v>1.65</v>
      </c>
      <c r="Z6" s="130">
        <v>1.73</v>
      </c>
      <c r="AA6" s="130">
        <v>1.84</v>
      </c>
      <c r="AB6" s="131">
        <f>(AA6+AB7)/2</f>
        <v>2.1800000000000002</v>
      </c>
      <c r="AC6" s="157"/>
      <c r="AD6" s="157"/>
      <c r="AE6" s="157"/>
    </row>
    <row r="7" spans="1:31" ht="12">
      <c r="A7" s="26" t="s">
        <v>167</v>
      </c>
      <c r="M7" s="7"/>
      <c r="N7" s="7">
        <f t="shared" si="0"/>
        <v>9</v>
      </c>
      <c r="O7" s="6">
        <v>-945.86139775138076</v>
      </c>
      <c r="P7" s="6"/>
      <c r="Q7" s="6">
        <v>14123.079293952105</v>
      </c>
      <c r="S7" s="120" t="s">
        <v>48</v>
      </c>
      <c r="T7" s="117">
        <v>4</v>
      </c>
      <c r="U7" s="130">
        <v>4</v>
      </c>
      <c r="V7" s="130">
        <v>4</v>
      </c>
      <c r="W7" s="131">
        <f>(W6+X7)/2</f>
        <v>1.71</v>
      </c>
      <c r="X7" s="130">
        <v>2.13</v>
      </c>
      <c r="Y7" s="130">
        <v>2.1800000000000002</v>
      </c>
      <c r="Z7" s="130">
        <v>2.25</v>
      </c>
      <c r="AA7" s="130">
        <v>2.37</v>
      </c>
      <c r="AB7" s="130">
        <v>2.52</v>
      </c>
      <c r="AC7" s="17"/>
      <c r="AD7" s="17"/>
      <c r="AE7" s="17"/>
    </row>
    <row r="8" spans="1:31" ht="12">
      <c r="A8" s="26" t="s">
        <v>168</v>
      </c>
      <c r="M8" s="7"/>
      <c r="N8" s="7">
        <f>N9+1</f>
        <v>8</v>
      </c>
      <c r="O8" s="6">
        <v>-878.19603179614046</v>
      </c>
      <c r="P8" s="6"/>
      <c r="Q8" s="6">
        <v>0</v>
      </c>
      <c r="S8" s="27" t="s">
        <v>190</v>
      </c>
      <c r="T8" s="29">
        <v>17000</v>
      </c>
      <c r="U8" s="130">
        <v>5</v>
      </c>
      <c r="V8" s="130">
        <v>5</v>
      </c>
      <c r="W8" s="131">
        <f>(W7+X8)/2</f>
        <v>2.1799999999999997</v>
      </c>
      <c r="X8" s="130">
        <v>2.65</v>
      </c>
      <c r="Y8" s="130">
        <v>2.7</v>
      </c>
      <c r="Z8" s="130">
        <v>2.77</v>
      </c>
      <c r="AA8" s="130">
        <v>2.89</v>
      </c>
      <c r="AB8" s="130">
        <v>3.04</v>
      </c>
      <c r="AC8" s="17"/>
      <c r="AD8" s="17"/>
      <c r="AE8" s="17"/>
    </row>
    <row r="9" spans="1:31" ht="22.5">
      <c r="A9" s="26" t="s">
        <v>169</v>
      </c>
      <c r="M9" s="7"/>
      <c r="N9" s="7">
        <f t="shared" si="0"/>
        <v>7</v>
      </c>
      <c r="O9" s="6">
        <v>0</v>
      </c>
      <c r="P9" s="7"/>
      <c r="Q9" s="6">
        <v>-7367.7600383873523</v>
      </c>
      <c r="S9" s="27" t="s">
        <v>191</v>
      </c>
      <c r="T9" s="126">
        <v>0.22</v>
      </c>
      <c r="U9" s="314" t="s">
        <v>74</v>
      </c>
      <c r="V9" s="314"/>
      <c r="W9" s="130" t="s">
        <v>75</v>
      </c>
      <c r="X9" s="130" t="s">
        <v>76</v>
      </c>
      <c r="Y9" s="130" t="s">
        <v>77</v>
      </c>
      <c r="Z9" s="130" t="s">
        <v>78</v>
      </c>
      <c r="AA9" s="130" t="s">
        <v>79</v>
      </c>
      <c r="AB9" s="130" t="s">
        <v>80</v>
      </c>
      <c r="AC9" s="17"/>
      <c r="AD9" s="17"/>
      <c r="AE9" s="17"/>
    </row>
    <row r="10" spans="1:31" ht="12.75" thickBot="1">
      <c r="M10" s="7"/>
      <c r="N10" s="7">
        <f t="shared" si="0"/>
        <v>6</v>
      </c>
      <c r="O10" s="6">
        <v>3097.1082814179058</v>
      </c>
      <c r="P10" s="7"/>
      <c r="Q10" s="6">
        <v>0</v>
      </c>
      <c r="S10" s="27" t="s">
        <v>46</v>
      </c>
      <c r="T10" s="29">
        <v>27.69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ht="15.75" thickBot="1">
      <c r="A11" s="51" t="s">
        <v>173</v>
      </c>
      <c r="B11" s="140">
        <f>MATCH(Розрахунок!D50,$A$12:$A$15,0)</f>
        <v>1</v>
      </c>
      <c r="M11" s="7"/>
      <c r="N11" s="7">
        <f t="shared" si="0"/>
        <v>5</v>
      </c>
      <c r="O11" s="6">
        <v>-3644.7955417399157</v>
      </c>
      <c r="P11" s="7"/>
      <c r="Q11" s="6">
        <v>3737.8540804141448</v>
      </c>
      <c r="S11" s="27" t="s">
        <v>197</v>
      </c>
      <c r="T11" s="29">
        <v>29.757899999999999</v>
      </c>
      <c r="U11" s="17"/>
      <c r="V11" s="17"/>
      <c r="W11" s="18">
        <v>1</v>
      </c>
      <c r="X11" s="19">
        <v>8</v>
      </c>
      <c r="Y11" s="19">
        <v>15</v>
      </c>
      <c r="Z11" s="19">
        <v>30</v>
      </c>
      <c r="AA11" s="19">
        <v>50</v>
      </c>
      <c r="AB11" s="20">
        <v>75</v>
      </c>
      <c r="AC11" s="158"/>
      <c r="AD11" s="158"/>
      <c r="AE11" s="158"/>
    </row>
    <row r="12" spans="1:31" ht="12.75" thickBot="1">
      <c r="A12" s="26" t="s">
        <v>214</v>
      </c>
      <c r="M12" s="7"/>
      <c r="N12" s="7">
        <f t="shared" si="0"/>
        <v>4</v>
      </c>
      <c r="O12" s="6">
        <v>1923.1169195159873</v>
      </c>
      <c r="P12" s="7"/>
      <c r="Q12" s="6">
        <v>0</v>
      </c>
      <c r="U12" s="17"/>
      <c r="V12" s="21">
        <v>1</v>
      </c>
      <c r="W12" s="15">
        <v>0.69</v>
      </c>
      <c r="X12" s="15">
        <v>0.86</v>
      </c>
      <c r="Y12" s="15">
        <v>0.9</v>
      </c>
      <c r="Z12" s="16">
        <v>1.05</v>
      </c>
      <c r="AA12" s="16">
        <v>1.2850000000000001</v>
      </c>
      <c r="AB12" s="16">
        <v>1.5675000000000001</v>
      </c>
      <c r="AC12" s="157"/>
      <c r="AD12" s="157"/>
      <c r="AE12" s="157"/>
    </row>
    <row r="13" spans="1:31" ht="12.75" thickBot="1">
      <c r="A13" s="26" t="s">
        <v>174</v>
      </c>
      <c r="M13" s="7"/>
      <c r="N13" s="7">
        <f t="shared" si="0"/>
        <v>3</v>
      </c>
      <c r="O13" s="6">
        <v>-546.00508667331087</v>
      </c>
      <c r="P13" s="7"/>
      <c r="Q13" s="6">
        <v>-2121.7803821863258</v>
      </c>
      <c r="U13" s="17"/>
      <c r="V13" s="22">
        <v>2</v>
      </c>
      <c r="W13" s="15">
        <v>0.86</v>
      </c>
      <c r="X13" s="15">
        <v>1.08</v>
      </c>
      <c r="Y13" s="15">
        <v>1.1299999999999999</v>
      </c>
      <c r="Z13" s="15">
        <v>1.2</v>
      </c>
      <c r="AA13" s="16">
        <v>1.52</v>
      </c>
      <c r="AB13" s="16">
        <v>1.85</v>
      </c>
      <c r="AC13" s="157"/>
      <c r="AD13" s="157"/>
      <c r="AE13" s="157"/>
    </row>
    <row r="14" spans="1:31" ht="12.75" thickBot="1">
      <c r="A14" s="26" t="s">
        <v>212</v>
      </c>
      <c r="M14" s="7"/>
      <c r="N14" s="7">
        <f t="shared" si="0"/>
        <v>2</v>
      </c>
      <c r="O14" s="6">
        <v>86.256144133061085</v>
      </c>
      <c r="P14" s="7"/>
      <c r="Q14" s="6">
        <v>1207.9819614159458</v>
      </c>
      <c r="U14" s="17"/>
      <c r="V14" s="22">
        <v>3</v>
      </c>
      <c r="W14" s="15">
        <v>1.29</v>
      </c>
      <c r="X14" s="15">
        <v>1.61</v>
      </c>
      <c r="Y14" s="15">
        <v>1.65</v>
      </c>
      <c r="Z14" s="15">
        <v>1.73</v>
      </c>
      <c r="AA14" s="15">
        <v>1.84</v>
      </c>
      <c r="AB14" s="16">
        <v>2.1800000000000002</v>
      </c>
      <c r="AC14" s="157"/>
      <c r="AD14" s="157"/>
      <c r="AE14" s="157"/>
    </row>
    <row r="15" spans="1:31" ht="12.75" thickBot="1">
      <c r="A15" s="26" t="s">
        <v>213</v>
      </c>
      <c r="M15" s="7"/>
      <c r="N15" s="7">
        <f>N16+1</f>
        <v>1</v>
      </c>
      <c r="O15" s="6">
        <v>-7.9909190049195571</v>
      </c>
      <c r="P15" s="7"/>
      <c r="Q15" s="6">
        <v>-273.65107156847586</v>
      </c>
      <c r="U15" s="17"/>
      <c r="V15" s="22">
        <v>4</v>
      </c>
      <c r="W15" s="16">
        <v>1.71</v>
      </c>
      <c r="X15" s="15">
        <v>2.13</v>
      </c>
      <c r="Y15" s="15">
        <v>2.1800000000000002</v>
      </c>
      <c r="Z15" s="15">
        <v>2.25</v>
      </c>
      <c r="AA15" s="15">
        <v>2.37</v>
      </c>
      <c r="AB15" s="15">
        <v>2.52</v>
      </c>
      <c r="AC15" s="17"/>
      <c r="AD15" s="17"/>
      <c r="AE15" s="17"/>
    </row>
    <row r="16" spans="1:31" ht="12.75" thickBot="1">
      <c r="M16" s="7"/>
      <c r="N16" s="7">
        <v>0</v>
      </c>
      <c r="O16" s="6">
        <v>1.007512311733926</v>
      </c>
      <c r="P16" s="7"/>
      <c r="Q16" s="6">
        <v>23.952105521821856</v>
      </c>
      <c r="U16" s="17"/>
      <c r="V16" s="23">
        <v>5</v>
      </c>
      <c r="W16" s="16">
        <v>2.1799999999999997</v>
      </c>
      <c r="X16" s="15">
        <v>2.65</v>
      </c>
      <c r="Y16" s="15">
        <v>2.7</v>
      </c>
      <c r="Z16" s="15">
        <v>2.77</v>
      </c>
      <c r="AA16" s="15">
        <v>2.89</v>
      </c>
      <c r="AB16" s="15">
        <v>3.04</v>
      </c>
      <c r="AC16" s="17"/>
      <c r="AD16" s="17"/>
      <c r="AE16" s="17"/>
    </row>
    <row r="17" spans="1:33" ht="90">
      <c r="A17" s="51" t="s">
        <v>139</v>
      </c>
      <c r="B17" s="26" t="s">
        <v>140</v>
      </c>
      <c r="C17" s="139" t="s">
        <v>198</v>
      </c>
      <c r="D17" s="26" t="s">
        <v>141</v>
      </c>
      <c r="E17" s="140">
        <f>MATCH(Розрахунок!E17,Списки!$A$18:$A$27,0)</f>
        <v>4</v>
      </c>
      <c r="M17" s="7"/>
    </row>
    <row r="18" spans="1:33">
      <c r="A18" s="26" t="s">
        <v>104</v>
      </c>
      <c r="B18" s="35">
        <v>34</v>
      </c>
      <c r="C18" s="38"/>
      <c r="D18" s="35">
        <v>0.20200000000000001</v>
      </c>
      <c r="M18" s="7"/>
    </row>
    <row r="19" spans="1:33">
      <c r="A19" s="26" t="s">
        <v>113</v>
      </c>
      <c r="B19" s="35">
        <v>24</v>
      </c>
      <c r="C19" s="38"/>
      <c r="D19" s="35">
        <v>0.34060000000000001</v>
      </c>
      <c r="M19" s="7"/>
    </row>
    <row r="20" spans="1:33">
      <c r="A20" s="26" t="s">
        <v>142</v>
      </c>
      <c r="B20" s="35">
        <v>3.6</v>
      </c>
      <c r="C20" s="38"/>
      <c r="D20" s="35">
        <v>0.91200000000000003</v>
      </c>
      <c r="E20" s="52" t="s">
        <v>143</v>
      </c>
      <c r="M20" s="7"/>
    </row>
    <row r="21" spans="1:33">
      <c r="A21" s="26" t="s">
        <v>40</v>
      </c>
      <c r="B21" s="35">
        <v>14</v>
      </c>
      <c r="C21" s="38">
        <v>2500</v>
      </c>
      <c r="D21" s="35">
        <v>0</v>
      </c>
    </row>
    <row r="22" spans="1:33">
      <c r="A22" s="26" t="s">
        <v>144</v>
      </c>
      <c r="B22" s="35">
        <v>12.1</v>
      </c>
      <c r="C22" s="38">
        <v>3000</v>
      </c>
      <c r="D22" s="35">
        <v>0</v>
      </c>
    </row>
    <row r="23" spans="1:33">
      <c r="A23" s="26" t="s">
        <v>210</v>
      </c>
      <c r="B23" s="38">
        <v>14.4</v>
      </c>
      <c r="C23" s="156">
        <f>ROUNDDOWN(C22*B23/B22,-2)</f>
        <v>3500</v>
      </c>
      <c r="D23" s="38">
        <v>0</v>
      </c>
    </row>
    <row r="24" spans="1:33" ht="12" thickBot="1">
      <c r="A24" s="26" t="s">
        <v>145</v>
      </c>
      <c r="B24" s="35">
        <v>14.4</v>
      </c>
      <c r="C24" s="38">
        <v>1400</v>
      </c>
      <c r="D24" s="35">
        <v>0</v>
      </c>
    </row>
    <row r="25" spans="1:33" ht="23.25" thickBot="1">
      <c r="A25" s="26" t="s">
        <v>146</v>
      </c>
      <c r="B25" s="35">
        <v>16.8</v>
      </c>
      <c r="C25" s="38">
        <v>7000</v>
      </c>
      <c r="D25" s="35">
        <v>0</v>
      </c>
      <c r="S25" s="315" t="s">
        <v>199</v>
      </c>
      <c r="T25" s="316"/>
      <c r="U25" s="316"/>
      <c r="V25" s="317"/>
      <c r="W25" s="317"/>
      <c r="X25" s="317"/>
      <c r="Y25" s="317"/>
      <c r="Z25" s="317"/>
      <c r="AA25" s="317"/>
      <c r="AB25" s="317"/>
      <c r="AC25" s="318"/>
      <c r="AD25" s="318"/>
      <c r="AE25" s="319"/>
    </row>
    <row r="26" spans="1:33" ht="12" customHeight="1">
      <c r="A26" s="26" t="s">
        <v>111</v>
      </c>
      <c r="B26" s="35">
        <v>15.1</v>
      </c>
      <c r="C26" s="38">
        <v>4500</v>
      </c>
      <c r="D26" s="35">
        <v>0</v>
      </c>
      <c r="S26" s="200" t="s">
        <v>206</v>
      </c>
      <c r="T26" s="201">
        <f>B6</f>
        <v>3</v>
      </c>
      <c r="U26" s="202" t="s">
        <v>209</v>
      </c>
      <c r="V26" s="320" t="s">
        <v>200</v>
      </c>
      <c r="W26" s="321"/>
      <c r="X26" s="301" t="str">
        <f>A21</f>
        <v>Дрова</v>
      </c>
      <c r="Y26" s="301" t="str">
        <f>A23</f>
        <v>Деревна тріска суха (вол. 25%)</v>
      </c>
      <c r="Z26" s="301" t="str">
        <f>A22</f>
        <v>Деревна тріска вол.40%</v>
      </c>
      <c r="AA26" s="301" t="str">
        <f>A24</f>
        <v>Солома зернових вол. 15%</v>
      </c>
      <c r="AB26" s="301" t="str">
        <f>A25</f>
        <v>Деревні пелети (вологість 10%, зольність 0,5 %)</v>
      </c>
      <c r="AC26" s="301" t="str">
        <f>A26</f>
        <v>Пелети з соломи</v>
      </c>
      <c r="AD26" s="301" t="str">
        <f>A27</f>
        <v>Пелети з лушпиння соняшника</v>
      </c>
      <c r="AE26" s="193" t="s">
        <v>207</v>
      </c>
    </row>
    <row r="27" spans="1:33" ht="27" customHeight="1">
      <c r="A27" s="26" t="s">
        <v>112</v>
      </c>
      <c r="B27" s="35">
        <v>16.399999999999999</v>
      </c>
      <c r="C27" s="38">
        <v>6500</v>
      </c>
      <c r="D27" s="35">
        <v>0</v>
      </c>
      <c r="S27" s="194" t="s">
        <v>86</v>
      </c>
      <c r="T27" s="144">
        <f ca="1">IF(Розрахунок!E43*1000&lt;100,CEILING(Розрахунок!E43*1000,5),IF(Розрахунок!E43*1000&lt;1000,CEILING(Розрахунок!E43*1000,10),CEILING(Розрахунок!E43*1000,100)))+Розрахунок!E44*1000</f>
        <v>1000</v>
      </c>
      <c r="U27" s="203">
        <f>E17</f>
        <v>4</v>
      </c>
      <c r="V27" s="322"/>
      <c r="W27" s="323"/>
      <c r="X27" s="302"/>
      <c r="Y27" s="302"/>
      <c r="Z27" s="302"/>
      <c r="AA27" s="302"/>
      <c r="AB27" s="302"/>
      <c r="AC27" s="302"/>
      <c r="AD27" s="302"/>
      <c r="AE27" s="195"/>
    </row>
    <row r="28" spans="1:33" ht="12" customHeight="1">
      <c r="S28" s="194" t="s">
        <v>203</v>
      </c>
      <c r="T28" s="37" t="s">
        <v>201</v>
      </c>
      <c r="U28" s="172" t="s">
        <v>202</v>
      </c>
      <c r="V28" s="142"/>
      <c r="W28" s="37"/>
      <c r="X28" s="161">
        <f>MATCH(X26,Списки!$A$18:$A$27,0)</f>
        <v>4</v>
      </c>
      <c r="Y28" s="161">
        <f>MATCH(Y26,Списки!$A$18:$A$27,0)</f>
        <v>6</v>
      </c>
      <c r="Z28" s="161">
        <f>MATCH(Z26,Списки!$A$18:$A$27,0)</f>
        <v>5</v>
      </c>
      <c r="AA28" s="161">
        <f>MATCH(AA26,Списки!$A$18:$A$27,0)</f>
        <v>7</v>
      </c>
      <c r="AB28" s="161">
        <f>MATCH(AB26,Списки!$A$18:$A$27,0)</f>
        <v>8</v>
      </c>
      <c r="AC28" s="161">
        <f>MATCH(AC26,Списки!$A$18:$A$27,0)</f>
        <v>9</v>
      </c>
      <c r="AD28" s="161">
        <f>MATCH(AD26,Списки!$A$18:$A$27,0)</f>
        <v>10</v>
      </c>
      <c r="AE28" s="168"/>
      <c r="AF28" s="145"/>
    </row>
    <row r="29" spans="1:33" ht="12" customHeight="1">
      <c r="S29" s="196" t="s">
        <v>204</v>
      </c>
      <c r="T29" s="144">
        <f>Розрахунок!E41</f>
        <v>2</v>
      </c>
      <c r="U29" s="204">
        <f ca="1">(T27-Розрахунок!E44*1000)/T29</f>
        <v>500</v>
      </c>
      <c r="V29" s="142"/>
      <c r="W29" s="37"/>
      <c r="X29" s="27"/>
      <c r="Y29" s="27"/>
      <c r="Z29" s="27"/>
      <c r="AA29" s="27"/>
      <c r="AB29" s="27"/>
      <c r="AC29" s="227"/>
      <c r="AD29" s="227"/>
      <c r="AE29" s="168"/>
    </row>
    <row r="30" spans="1:33" ht="15" customHeight="1" thickBot="1">
      <c r="S30" s="197" t="s">
        <v>205</v>
      </c>
      <c r="T30" s="198">
        <f ca="1">IF(Розрахунок!E44&gt;0,1,0)</f>
        <v>0</v>
      </c>
      <c r="U30" s="205">
        <f ca="1">Розрахунок!E44*1000</f>
        <v>0</v>
      </c>
      <c r="V30" s="199"/>
      <c r="W30" s="153"/>
      <c r="X30" s="153"/>
      <c r="Y30" s="153"/>
      <c r="Z30" s="153"/>
      <c r="AA30" s="153"/>
      <c r="AB30" s="153"/>
      <c r="AC30" s="228"/>
      <c r="AD30" s="228"/>
      <c r="AE30" s="169"/>
    </row>
    <row r="31" spans="1:33" ht="15" customHeight="1" thickBot="1">
      <c r="A31" s="299" t="s">
        <v>147</v>
      </c>
      <c r="B31" s="299"/>
      <c r="C31" s="299"/>
      <c r="D31" s="299"/>
      <c r="E31" s="299"/>
      <c r="F31" s="299"/>
      <c r="S31" s="184" t="s">
        <v>216</v>
      </c>
      <c r="T31" s="183"/>
      <c r="U31" s="183"/>
      <c r="V31" s="185">
        <v>327.64999999999998</v>
      </c>
      <c r="W31" s="185">
        <v>0.40660000000000002</v>
      </c>
      <c r="X31" s="185">
        <f ca="1">IF($T$27&lt;200,0,1)</f>
        <v>1</v>
      </c>
      <c r="Y31" s="185">
        <f t="shared" ref="Y31:AD31" ca="1" si="1">IF($T$27&lt;200,0,1)</f>
        <v>1</v>
      </c>
      <c r="Z31" s="185">
        <f t="shared" ca="1" si="1"/>
        <v>1</v>
      </c>
      <c r="AA31" s="185">
        <f t="shared" ca="1" si="1"/>
        <v>1</v>
      </c>
      <c r="AB31" s="185">
        <f t="shared" ca="1" si="1"/>
        <v>1</v>
      </c>
      <c r="AC31" s="185">
        <f t="shared" ca="1" si="1"/>
        <v>1</v>
      </c>
      <c r="AD31" s="185">
        <f t="shared" ca="1" si="1"/>
        <v>1</v>
      </c>
      <c r="AE31" s="148">
        <f ca="1">V31*$T$27^W31*($T$27/2500)^0.5*INDEX(X31:AD31,MATCH($U$27,$X$28:$AD$28,0))</f>
        <v>3437.479904460341</v>
      </c>
      <c r="AF31" s="26">
        <f ca="1">AE31*37.5</f>
        <v>128905.49641726278</v>
      </c>
      <c r="AG31" s="226">
        <f ca="1">AF31/(T27*150*37.5)</f>
        <v>2.2916532696402273E-2</v>
      </c>
    </row>
    <row r="32" spans="1:33" ht="15" customHeight="1" thickBot="1">
      <c r="A32" s="300" t="s">
        <v>148</v>
      </c>
      <c r="B32" s="27" t="s">
        <v>149</v>
      </c>
      <c r="C32" s="137"/>
      <c r="D32" s="301" t="s">
        <v>150</v>
      </c>
      <c r="E32" s="300" t="s">
        <v>16</v>
      </c>
      <c r="F32" s="300" t="s">
        <v>151</v>
      </c>
      <c r="S32" s="184" t="s">
        <v>217</v>
      </c>
      <c r="T32" s="183"/>
      <c r="U32" s="183"/>
      <c r="V32" s="185">
        <v>1200</v>
      </c>
      <c r="W32" s="185"/>
      <c r="X32" s="185">
        <f ca="1">IF($T$27&lt;200,0,1)</f>
        <v>1</v>
      </c>
      <c r="Y32" s="185">
        <f t="shared" ref="Y32:AD32" ca="1" si="2">IF($T$27&lt;200,0,1)</f>
        <v>1</v>
      </c>
      <c r="Z32" s="185">
        <f t="shared" ca="1" si="2"/>
        <v>1</v>
      </c>
      <c r="AA32" s="185">
        <f t="shared" ca="1" si="2"/>
        <v>1</v>
      </c>
      <c r="AB32" s="185">
        <f t="shared" ca="1" si="2"/>
        <v>1</v>
      </c>
      <c r="AC32" s="185">
        <f t="shared" ca="1" si="2"/>
        <v>1</v>
      </c>
      <c r="AD32" s="185">
        <f t="shared" ca="1" si="2"/>
        <v>1</v>
      </c>
      <c r="AE32" s="148">
        <f ca="1">V32*($T$27/2500)^0.5*INDEX(X32:AD32,MATCH($U$27,$X$28:$AD$28,0))</f>
        <v>758.94663844041111</v>
      </c>
    </row>
    <row r="33" spans="1:33" ht="15" customHeight="1" thickBot="1">
      <c r="A33" s="300"/>
      <c r="B33" s="28" t="s">
        <v>152</v>
      </c>
      <c r="C33" s="138"/>
      <c r="D33" s="302"/>
      <c r="E33" s="300"/>
      <c r="F33" s="300"/>
      <c r="S33" s="146" t="s">
        <v>87</v>
      </c>
      <c r="T33" s="147"/>
      <c r="U33" s="147"/>
      <c r="V33" s="174">
        <v>453.2</v>
      </c>
      <c r="W33" s="175">
        <v>0.71360000000000001</v>
      </c>
      <c r="X33" s="177">
        <v>0</v>
      </c>
      <c r="Y33" s="177">
        <v>0</v>
      </c>
      <c r="Z33" s="177">
        <v>0</v>
      </c>
      <c r="AA33" s="177">
        <v>0</v>
      </c>
      <c r="AB33" s="177">
        <v>0</v>
      </c>
      <c r="AC33" s="177">
        <v>0</v>
      </c>
      <c r="AD33" s="177">
        <v>0</v>
      </c>
      <c r="AE33" s="148">
        <f>IF(T26=1,V33*T27^W33,0)*INDEX(X33:AD33,MATCH($U$27,$X$28:$AD$28,0))</f>
        <v>0</v>
      </c>
    </row>
    <row r="34" spans="1:33" ht="15" customHeight="1">
      <c r="A34" s="55" t="s">
        <v>61</v>
      </c>
      <c r="B34" s="56">
        <v>577.25</v>
      </c>
      <c r="C34" s="56"/>
      <c r="D34" s="36">
        <v>-0.2</v>
      </c>
      <c r="E34" s="36">
        <v>182</v>
      </c>
      <c r="F34" s="36">
        <v>-21</v>
      </c>
      <c r="S34" s="149" t="s">
        <v>208</v>
      </c>
      <c r="T34" s="150"/>
      <c r="U34" s="150"/>
      <c r="V34" s="176">
        <v>91.254000000000005</v>
      </c>
      <c r="W34" s="176">
        <v>0.88670000000000004</v>
      </c>
      <c r="X34" s="176">
        <f>IF($T$26=1,1,0)</f>
        <v>0</v>
      </c>
      <c r="Y34" s="176">
        <f t="shared" ref="Y34:AD34" si="3">IF($T$26=1,1,0)</f>
        <v>0</v>
      </c>
      <c r="Z34" s="176">
        <f t="shared" si="3"/>
        <v>0</v>
      </c>
      <c r="AA34" s="176">
        <v>0</v>
      </c>
      <c r="AB34" s="176">
        <f t="shared" si="3"/>
        <v>0</v>
      </c>
      <c r="AC34" s="176">
        <f t="shared" si="3"/>
        <v>0</v>
      </c>
      <c r="AD34" s="176">
        <f t="shared" si="3"/>
        <v>0</v>
      </c>
      <c r="AE34" s="151">
        <f ca="1">IF(T27&lt;1000,V34*T27^W34,V35*T27^W35)*INDEX(X34:AD34,MATCH($U$27,$X$28:$AD$28,0))</f>
        <v>0</v>
      </c>
      <c r="AG34" s="225"/>
    </row>
    <row r="35" spans="1:33" ht="15" customHeight="1" thickBot="1">
      <c r="A35" s="55" t="s">
        <v>18</v>
      </c>
      <c r="B35" s="56">
        <v>559.25</v>
      </c>
      <c r="C35" s="56"/>
      <c r="D35" s="36">
        <v>-0.2</v>
      </c>
      <c r="E35" s="36">
        <v>172</v>
      </c>
      <c r="F35" s="36">
        <v>-24</v>
      </c>
      <c r="S35" s="154"/>
      <c r="T35" s="137"/>
      <c r="U35" s="137"/>
      <c r="V35" s="53">
        <v>570.83000000000004</v>
      </c>
      <c r="W35" s="53">
        <v>0.62350000000000005</v>
      </c>
      <c r="X35" s="137"/>
      <c r="Y35" s="137"/>
      <c r="Z35" s="137"/>
      <c r="AA35" s="137"/>
      <c r="AB35" s="137"/>
      <c r="AC35" s="137"/>
      <c r="AD35" s="137"/>
      <c r="AE35" s="165"/>
    </row>
    <row r="36" spans="1:33" ht="14.25" customHeight="1" thickBot="1">
      <c r="A36" s="55" t="s">
        <v>19</v>
      </c>
      <c r="B36" s="56">
        <v>569</v>
      </c>
      <c r="C36" s="56"/>
      <c r="D36" s="36">
        <v>-0.5</v>
      </c>
      <c r="E36" s="36">
        <v>176</v>
      </c>
      <c r="F36" s="36">
        <v>-22</v>
      </c>
      <c r="S36" s="146" t="s">
        <v>88</v>
      </c>
      <c r="T36" s="147"/>
      <c r="U36" s="147"/>
      <c r="V36" s="177">
        <v>107.56</v>
      </c>
      <c r="W36" s="177">
        <v>0.50649999999999995</v>
      </c>
      <c r="X36" s="177">
        <v>1</v>
      </c>
      <c r="Y36" s="177">
        <v>1</v>
      </c>
      <c r="Z36" s="177">
        <v>1</v>
      </c>
      <c r="AA36" s="177">
        <v>1</v>
      </c>
      <c r="AB36" s="177">
        <v>1</v>
      </c>
      <c r="AC36" s="177">
        <v>1</v>
      </c>
      <c r="AD36" s="177">
        <v>1</v>
      </c>
      <c r="AE36" s="167">
        <f ca="1">V36*T27^W36*INDEX(X36:AD36,MATCH($U$27,$X$28:$AD$28,0))</f>
        <v>3557.5482053093383</v>
      </c>
      <c r="AG36" s="224"/>
    </row>
    <row r="37" spans="1:33" ht="11.25" customHeight="1">
      <c r="A37" s="55" t="s">
        <v>12</v>
      </c>
      <c r="B37" s="56">
        <v>557.125</v>
      </c>
      <c r="C37" s="56"/>
      <c r="D37" s="36">
        <v>-0.2</v>
      </c>
      <c r="E37" s="36">
        <v>184</v>
      </c>
      <c r="F37" s="36">
        <v>-22</v>
      </c>
      <c r="S37" s="154" t="s">
        <v>215</v>
      </c>
      <c r="T37" s="143"/>
      <c r="U37" s="143"/>
      <c r="V37" s="54"/>
      <c r="W37" s="54"/>
      <c r="X37" s="155">
        <f ca="1">$T$29*105.66*U29^0.7703</f>
        <v>25348.787829789308</v>
      </c>
      <c r="Y37" s="155">
        <f ca="1">T29*2168*U29^0.382</f>
        <v>46568.882367888691</v>
      </c>
      <c r="Z37" s="155">
        <f ca="1">T29*IF(U29&lt;=400,2200*U29^0.382,61*U29^0.98)</f>
        <v>53870.429103863346</v>
      </c>
      <c r="AA37" s="162">
        <f ca="1">AA38</f>
        <v>241500</v>
      </c>
      <c r="AB37" s="155">
        <f ca="1">$T$29*2168*$U$29^0.382</f>
        <v>46568.882367888691</v>
      </c>
      <c r="AC37" s="155">
        <f t="shared" ref="AC37:AD37" ca="1" si="4">$T$29*2168*$U$29^0.382</f>
        <v>46568.882367888691</v>
      </c>
      <c r="AD37" s="155">
        <f t="shared" ca="1" si="4"/>
        <v>46568.882367888691</v>
      </c>
      <c r="AE37" s="170">
        <f ca="1">INDEX($X$37:$AD$37,MATCH($U$27,$X$28:$AD$28,0))</f>
        <v>25348.787829789308</v>
      </c>
      <c r="AG37" s="224"/>
    </row>
    <row r="38" spans="1:33" ht="12" customHeight="1" thickBot="1">
      <c r="A38" s="57" t="s">
        <v>20</v>
      </c>
      <c r="B38" s="58">
        <v>532.25</v>
      </c>
      <c r="C38" s="58"/>
      <c r="D38" s="36">
        <v>0.6</v>
      </c>
      <c r="E38" s="36">
        <v>166</v>
      </c>
      <c r="F38" s="36">
        <v>-21</v>
      </c>
      <c r="S38" s="154" t="s">
        <v>211</v>
      </c>
      <c r="T38" s="210"/>
      <c r="U38" s="137"/>
      <c r="V38" s="134"/>
      <c r="W38" s="134"/>
      <c r="X38" s="212"/>
      <c r="Y38" s="210"/>
      <c r="Z38" s="213">
        <f ca="1">T29*IF(U29&lt;300,0,100*U29^0.98)</f>
        <v>88312.178858792366</v>
      </c>
      <c r="AA38" s="213">
        <f ca="1">T29*ROUND(1/(0.00000126627-0.0000081311/U29^(0.5)+1.844779717/U29^2),-1)</f>
        <v>241500</v>
      </c>
      <c r="AB38" s="210"/>
      <c r="AC38" s="210"/>
      <c r="AD38" s="210"/>
      <c r="AE38" s="173"/>
    </row>
    <row r="39" spans="1:33" ht="12" customHeight="1">
      <c r="A39" s="55" t="s">
        <v>21</v>
      </c>
      <c r="B39" s="56">
        <v>544</v>
      </c>
      <c r="C39" s="56"/>
      <c r="D39" s="36">
        <v>0.4</v>
      </c>
      <c r="E39" s="36">
        <v>179</v>
      </c>
      <c r="F39" s="36">
        <v>-20</v>
      </c>
      <c r="S39" s="149" t="s">
        <v>89</v>
      </c>
      <c r="T39" s="150"/>
      <c r="U39" s="150"/>
      <c r="V39" s="176">
        <v>3.3614000000000002</v>
      </c>
      <c r="W39" s="176">
        <v>0.90259999999999996</v>
      </c>
      <c r="X39" s="176">
        <v>1</v>
      </c>
      <c r="Y39" s="176">
        <v>1</v>
      </c>
      <c r="Z39" s="176">
        <v>1</v>
      </c>
      <c r="AA39" s="176">
        <v>1</v>
      </c>
      <c r="AB39" s="176">
        <v>1</v>
      </c>
      <c r="AC39" s="176">
        <v>1</v>
      </c>
      <c r="AD39" s="176">
        <v>1</v>
      </c>
      <c r="AE39" s="170">
        <f ca="1">IF($T$26=1,V39*T27^W39,IF(T27&lt;=500,V40*T27^W40,V41*T27+W41))*INDEX(X39:AD39,MATCH($U$27,$X$28:$AD$28,0))</f>
        <v>884.34999999999991</v>
      </c>
      <c r="AG39" s="224"/>
    </row>
    <row r="40" spans="1:33" ht="12" customHeight="1">
      <c r="A40" s="55" t="s">
        <v>22</v>
      </c>
      <c r="B40" s="56">
        <v>556.75</v>
      </c>
      <c r="C40" s="56"/>
      <c r="D40" s="36">
        <v>-0.1</v>
      </c>
      <c r="E40" s="36">
        <v>176</v>
      </c>
      <c r="F40" s="36">
        <v>-22</v>
      </c>
      <c r="S40" s="154"/>
      <c r="T40" s="27"/>
      <c r="U40" s="27"/>
      <c r="V40" s="133">
        <v>5.0457999999999998</v>
      </c>
      <c r="W40" s="133">
        <v>0.64339999999999997</v>
      </c>
      <c r="X40" s="27"/>
      <c r="Y40" s="27"/>
      <c r="Z40" s="27"/>
      <c r="AA40" s="27"/>
      <c r="AB40" s="27"/>
      <c r="AC40" s="27"/>
      <c r="AD40" s="27"/>
      <c r="AE40" s="173"/>
    </row>
    <row r="41" spans="1:33" ht="12.75" customHeight="1" thickBot="1">
      <c r="A41" s="55" t="s">
        <v>62</v>
      </c>
      <c r="B41" s="56">
        <v>584.375</v>
      </c>
      <c r="C41" s="56"/>
      <c r="D41" s="36">
        <v>-0.3</v>
      </c>
      <c r="E41" s="36">
        <v>175</v>
      </c>
      <c r="F41" s="36">
        <v>-22</v>
      </c>
      <c r="S41" s="152"/>
      <c r="T41" s="153"/>
      <c r="U41" s="153"/>
      <c r="V41" s="178">
        <v>1.2205999999999999</v>
      </c>
      <c r="W41" s="178">
        <v>-336.25</v>
      </c>
      <c r="X41" s="153"/>
      <c r="Y41" s="153"/>
      <c r="Z41" s="153"/>
      <c r="AA41" s="153"/>
      <c r="AB41" s="153"/>
      <c r="AC41" s="153"/>
      <c r="AD41" s="153"/>
      <c r="AE41" s="171"/>
    </row>
    <row r="42" spans="1:33" ht="12" customHeight="1" thickBot="1">
      <c r="A42" s="55" t="s">
        <v>35</v>
      </c>
      <c r="B42" s="56">
        <v>547</v>
      </c>
      <c r="C42" s="56"/>
      <c r="D42" s="36">
        <v>-0.4</v>
      </c>
      <c r="E42" s="36">
        <v>172</v>
      </c>
      <c r="F42" s="36">
        <v>-25</v>
      </c>
      <c r="S42" s="152" t="s">
        <v>90</v>
      </c>
      <c r="T42" s="164"/>
      <c r="U42" s="164"/>
      <c r="V42" s="215">
        <v>57.973999999999997</v>
      </c>
      <c r="W42" s="215">
        <v>0.7923</v>
      </c>
      <c r="X42" s="214">
        <v>1</v>
      </c>
      <c r="Y42" s="214">
        <v>1</v>
      </c>
      <c r="Z42" s="214">
        <v>1</v>
      </c>
      <c r="AA42" s="214">
        <v>1</v>
      </c>
      <c r="AB42" s="214">
        <v>1</v>
      </c>
      <c r="AC42" s="214">
        <v>1</v>
      </c>
      <c r="AD42" s="214">
        <v>1</v>
      </c>
      <c r="AE42" s="171">
        <f ca="1">IF(T26=1,0,V42*T27^W42)*INDEX(X42:AD42,MATCH($U$27,$X$28:$AD$28,0))</f>
        <v>13808.079097877466</v>
      </c>
      <c r="AG42" s="225"/>
    </row>
    <row r="43" spans="1:33" ht="12">
      <c r="A43" s="55" t="s">
        <v>17</v>
      </c>
      <c r="B43" s="56">
        <v>512.75</v>
      </c>
      <c r="C43" s="56"/>
      <c r="D43" s="36">
        <v>0.3</v>
      </c>
      <c r="E43" s="36">
        <v>180</v>
      </c>
      <c r="F43" s="36">
        <v>-20</v>
      </c>
      <c r="S43" s="187" t="s">
        <v>91</v>
      </c>
      <c r="T43" s="150"/>
      <c r="U43" s="150"/>
      <c r="V43" s="176">
        <v>4.9660000000000002</v>
      </c>
      <c r="W43" s="176">
        <v>0.80220000000000002</v>
      </c>
      <c r="X43" s="176">
        <f>IF($T$26=1,0,1)</f>
        <v>1</v>
      </c>
      <c r="Y43" s="176">
        <f t="shared" ref="Y43:AD43" si="5">IF($T$26=1,0,1)</f>
        <v>1</v>
      </c>
      <c r="Z43" s="176">
        <f t="shared" si="5"/>
        <v>1</v>
      </c>
      <c r="AA43" s="176">
        <f t="shared" si="5"/>
        <v>1</v>
      </c>
      <c r="AB43" s="176">
        <f t="shared" si="5"/>
        <v>1</v>
      </c>
      <c r="AC43" s="176">
        <f t="shared" si="5"/>
        <v>1</v>
      </c>
      <c r="AD43" s="176">
        <f t="shared" si="5"/>
        <v>1</v>
      </c>
      <c r="AE43" s="163">
        <f ca="1">V43*$T$27^W43*INDEX(X43:AD43,MATCH($U$27,$X$28:$AD$28,0))</f>
        <v>1266.5044358527341</v>
      </c>
      <c r="AG43" s="225"/>
    </row>
    <row r="44" spans="1:33" ht="12">
      <c r="A44" s="55" t="s">
        <v>23</v>
      </c>
      <c r="B44" s="56">
        <v>536.5</v>
      </c>
      <c r="C44" s="56"/>
      <c r="D44" s="36">
        <v>0.4</v>
      </c>
      <c r="E44" s="36">
        <v>179</v>
      </c>
      <c r="F44" s="36">
        <v>-19</v>
      </c>
      <c r="S44" s="188" t="s">
        <v>37</v>
      </c>
      <c r="T44" s="143"/>
      <c r="U44" s="143"/>
      <c r="V44" s="54">
        <v>31.358000000000001</v>
      </c>
      <c r="W44" s="54">
        <v>0.79530000000000001</v>
      </c>
      <c r="X44" s="135">
        <v>1</v>
      </c>
      <c r="Y44" s="135">
        <v>1</v>
      </c>
      <c r="Z44" s="135">
        <v>1</v>
      </c>
      <c r="AA44" s="135">
        <v>1</v>
      </c>
      <c r="AB44" s="135">
        <v>1</v>
      </c>
      <c r="AC44" s="135">
        <v>1</v>
      </c>
      <c r="AD44" s="135">
        <v>1</v>
      </c>
      <c r="AE44" s="166">
        <f ca="1">V44*$T$27^W44*INDEX(X44:AD44,MATCH($U$27,$X$28:$AD$28,0))</f>
        <v>7625.1493739712942</v>
      </c>
      <c r="AG44" s="224"/>
    </row>
    <row r="45" spans="1:33" ht="12">
      <c r="A45" s="57" t="s">
        <v>24</v>
      </c>
      <c r="B45" s="58">
        <v>523.25</v>
      </c>
      <c r="C45" s="58"/>
      <c r="D45" s="36">
        <v>1.1000000000000001</v>
      </c>
      <c r="E45" s="36">
        <v>161</v>
      </c>
      <c r="F45" s="36">
        <v>-20</v>
      </c>
      <c r="S45" s="189" t="s">
        <v>103</v>
      </c>
      <c r="T45" s="27"/>
      <c r="U45" s="27"/>
      <c r="V45" s="37">
        <v>175.52</v>
      </c>
      <c r="W45" s="133">
        <v>0.48280000000000001</v>
      </c>
      <c r="X45" s="133">
        <f>IF($B$11&lt;&gt;1,1,0)</f>
        <v>0</v>
      </c>
      <c r="Y45" s="133">
        <f t="shared" ref="Y45:AD45" si="6">IF($B$11&lt;&gt;1,1,0)</f>
        <v>0</v>
      </c>
      <c r="Z45" s="133">
        <f t="shared" si="6"/>
        <v>0</v>
      </c>
      <c r="AA45" s="133">
        <f t="shared" si="6"/>
        <v>0</v>
      </c>
      <c r="AB45" s="133">
        <f t="shared" si="6"/>
        <v>0</v>
      </c>
      <c r="AC45" s="133">
        <f t="shared" si="6"/>
        <v>0</v>
      </c>
      <c r="AD45" s="133">
        <f t="shared" si="6"/>
        <v>0</v>
      </c>
      <c r="AE45" s="166">
        <f>IF(B11&lt;&gt;1,T29*V45*$U$29^W45,0)*INDEX(X45:AD45,MATCH($U$27,$X$28:$AD$28,0))</f>
        <v>0</v>
      </c>
      <c r="AG45" s="225"/>
    </row>
    <row r="46" spans="1:33" ht="12">
      <c r="A46" s="57" t="s">
        <v>25</v>
      </c>
      <c r="B46" s="58">
        <v>515.25</v>
      </c>
      <c r="C46" s="58"/>
      <c r="D46" s="36">
        <v>2</v>
      </c>
      <c r="E46" s="36">
        <v>158</v>
      </c>
      <c r="F46" s="36">
        <v>-18</v>
      </c>
      <c r="S46" s="189" t="s">
        <v>221</v>
      </c>
      <c r="T46" s="27"/>
      <c r="U46" s="27"/>
      <c r="V46" s="37">
        <v>42</v>
      </c>
      <c r="W46" s="133"/>
      <c r="X46" s="133">
        <f>IF($B$11=3,1,0)</f>
        <v>0</v>
      </c>
      <c r="Y46" s="133">
        <f t="shared" ref="Y46:AD46" si="7">IF($B$11=3,1,0)</f>
        <v>0</v>
      </c>
      <c r="Z46" s="133">
        <f t="shared" si="7"/>
        <v>0</v>
      </c>
      <c r="AA46" s="133">
        <f t="shared" si="7"/>
        <v>0</v>
      </c>
      <c r="AB46" s="133">
        <f t="shared" si="7"/>
        <v>0</v>
      </c>
      <c r="AC46" s="133">
        <f t="shared" si="7"/>
        <v>0</v>
      </c>
      <c r="AD46" s="133">
        <f t="shared" si="7"/>
        <v>0</v>
      </c>
      <c r="AE46" s="166">
        <f ca="1">V46*$T$27*INDEX(X46:AD46,MATCH($U$27,$X$28:$AD$28,0))</f>
        <v>0</v>
      </c>
      <c r="AG46" s="225"/>
    </row>
    <row r="47" spans="1:33" ht="12">
      <c r="A47" s="55" t="s">
        <v>13</v>
      </c>
      <c r="B47" s="56">
        <v>581.75</v>
      </c>
      <c r="C47" s="56"/>
      <c r="D47" s="36">
        <v>-0.8</v>
      </c>
      <c r="E47" s="36">
        <v>178</v>
      </c>
      <c r="F47" s="36">
        <v>-23</v>
      </c>
      <c r="S47" s="189" t="s">
        <v>92</v>
      </c>
      <c r="T47" s="27"/>
      <c r="U47" s="27"/>
      <c r="V47" s="37">
        <v>24.898</v>
      </c>
      <c r="W47" s="133">
        <v>0.65269999999999995</v>
      </c>
      <c r="X47" s="133">
        <f>IF($T$26=1,0,1)</f>
        <v>1</v>
      </c>
      <c r="Y47" s="133">
        <f t="shared" ref="Y47:AD47" si="8">IF($T$26=1,0,1)</f>
        <v>1</v>
      </c>
      <c r="Z47" s="133">
        <f t="shared" si="8"/>
        <v>1</v>
      </c>
      <c r="AA47" s="133">
        <f t="shared" si="8"/>
        <v>1</v>
      </c>
      <c r="AB47" s="133">
        <f t="shared" si="8"/>
        <v>1</v>
      </c>
      <c r="AC47" s="133">
        <f t="shared" si="8"/>
        <v>1</v>
      </c>
      <c r="AD47" s="133">
        <f t="shared" si="8"/>
        <v>1</v>
      </c>
      <c r="AE47" s="166">
        <f ca="1">V47*$T$27^W47*INDEX(X47:AD47,MATCH($U$27,$X$28:$AD$28,0))</f>
        <v>2260.8120673256976</v>
      </c>
      <c r="AG47" s="224"/>
    </row>
    <row r="48" spans="1:33" ht="12">
      <c r="A48" s="55" t="s">
        <v>26</v>
      </c>
      <c r="B48" s="56">
        <v>530.25</v>
      </c>
      <c r="C48" s="56"/>
      <c r="D48" s="36">
        <v>0.1</v>
      </c>
      <c r="E48" s="36">
        <v>182</v>
      </c>
      <c r="F48" s="36">
        <v>-21</v>
      </c>
      <c r="G48" s="30"/>
      <c r="S48" s="189" t="s">
        <v>68</v>
      </c>
      <c r="T48" s="27"/>
      <c r="U48" s="27"/>
      <c r="V48" s="37">
        <v>18.818999999999999</v>
      </c>
      <c r="W48" s="133">
        <v>0.33179999999999998</v>
      </c>
      <c r="X48" s="133">
        <v>1</v>
      </c>
      <c r="Y48" s="133">
        <v>1</v>
      </c>
      <c r="Z48" s="133">
        <v>1</v>
      </c>
      <c r="AA48" s="133">
        <v>1</v>
      </c>
      <c r="AB48" s="133">
        <v>1</v>
      </c>
      <c r="AC48" s="133">
        <v>1</v>
      </c>
      <c r="AD48" s="133">
        <v>1</v>
      </c>
      <c r="AE48" s="166">
        <f ca="1">V48*$T$27^W48*INDEX(X48:AD48,MATCH($U$27,$X$28:$AD$28,0))</f>
        <v>186.20723112542896</v>
      </c>
      <c r="AG48" s="224"/>
    </row>
    <row r="49" spans="1:33" ht="12">
      <c r="A49" s="57" t="s">
        <v>34</v>
      </c>
      <c r="B49" s="58">
        <v>521.25</v>
      </c>
      <c r="C49" s="58"/>
      <c r="D49" s="36">
        <v>2.6</v>
      </c>
      <c r="E49" s="36">
        <v>154</v>
      </c>
      <c r="F49" s="36">
        <v>-15</v>
      </c>
      <c r="G49" s="30"/>
      <c r="S49" s="189" t="s">
        <v>94</v>
      </c>
      <c r="T49" s="27"/>
      <c r="U49" s="27"/>
      <c r="V49" s="37">
        <v>6.5297999999999998</v>
      </c>
      <c r="W49" s="133">
        <v>0.80589999999999995</v>
      </c>
      <c r="X49" s="133">
        <f>IF($T$26=1,0,1)</f>
        <v>1</v>
      </c>
      <c r="Y49" s="133">
        <f t="shared" ref="Y49:AD49" si="9">IF($T$26=1,0,1)</f>
        <v>1</v>
      </c>
      <c r="Z49" s="133">
        <f t="shared" si="9"/>
        <v>1</v>
      </c>
      <c r="AA49" s="133">
        <f t="shared" si="9"/>
        <v>1</v>
      </c>
      <c r="AB49" s="133">
        <f t="shared" si="9"/>
        <v>1</v>
      </c>
      <c r="AC49" s="133">
        <f t="shared" si="9"/>
        <v>1</v>
      </c>
      <c r="AD49" s="133">
        <f t="shared" si="9"/>
        <v>1</v>
      </c>
      <c r="AE49" s="166">
        <f ca="1">V49*$T$27^W49*INDEX(X49:AD49,MATCH($U$27,$X$28:$AD$28,0))</f>
        <v>1708.4405840576192</v>
      </c>
      <c r="AG49" s="225"/>
    </row>
    <row r="50" spans="1:33" ht="12">
      <c r="A50" s="55" t="s">
        <v>27</v>
      </c>
      <c r="B50" s="56">
        <v>609.375</v>
      </c>
      <c r="C50" s="56"/>
      <c r="D50" s="36">
        <v>-1.4</v>
      </c>
      <c r="E50" s="36">
        <v>187</v>
      </c>
      <c r="F50" s="36">
        <v>-25</v>
      </c>
      <c r="S50" s="189" t="s">
        <v>95</v>
      </c>
      <c r="T50" s="27"/>
      <c r="U50" s="27"/>
      <c r="V50" s="37">
        <v>0.36409999999999998</v>
      </c>
      <c r="W50" s="133">
        <v>408.53</v>
      </c>
      <c r="X50" s="133">
        <f>IF($B$6=3,0,1)</f>
        <v>0</v>
      </c>
      <c r="Y50" s="133">
        <f t="shared" ref="Y50:AD51" si="10">IF($B$6=3,0,1)</f>
        <v>0</v>
      </c>
      <c r="Z50" s="133">
        <f t="shared" si="10"/>
        <v>0</v>
      </c>
      <c r="AA50" s="133">
        <f t="shared" si="10"/>
        <v>0</v>
      </c>
      <c r="AB50" s="133">
        <f t="shared" si="10"/>
        <v>0</v>
      </c>
      <c r="AC50" s="133">
        <f t="shared" si="10"/>
        <v>0</v>
      </c>
      <c r="AD50" s="133">
        <f t="shared" si="10"/>
        <v>0</v>
      </c>
      <c r="AE50" s="166">
        <f ca="1">(V50*$T$27+W50)*INDEX(X50:AD50,MATCH($U$27,$X$28:$AD$28,0))</f>
        <v>0</v>
      </c>
      <c r="AG50" s="225"/>
    </row>
    <row r="51" spans="1:33" ht="12">
      <c r="A51" s="55" t="s">
        <v>28</v>
      </c>
      <c r="B51" s="56">
        <v>559.375</v>
      </c>
      <c r="C51" s="56"/>
      <c r="D51" s="36">
        <v>-0.2</v>
      </c>
      <c r="E51" s="36">
        <v>184</v>
      </c>
      <c r="F51" s="36">
        <v>-20</v>
      </c>
      <c r="S51" s="189" t="s">
        <v>96</v>
      </c>
      <c r="T51" s="27"/>
      <c r="U51" s="27"/>
      <c r="V51" s="179">
        <v>511.63333333333298</v>
      </c>
      <c r="W51" s="27"/>
      <c r="X51" s="133">
        <f>IF($B$6=3,0,1)</f>
        <v>0</v>
      </c>
      <c r="Y51" s="133">
        <f t="shared" si="10"/>
        <v>0</v>
      </c>
      <c r="Z51" s="133">
        <f t="shared" si="10"/>
        <v>0</v>
      </c>
      <c r="AA51" s="133">
        <f t="shared" si="10"/>
        <v>0</v>
      </c>
      <c r="AB51" s="133">
        <f t="shared" si="10"/>
        <v>0</v>
      </c>
      <c r="AC51" s="133">
        <f t="shared" si="10"/>
        <v>0</v>
      </c>
      <c r="AD51" s="133">
        <f t="shared" si="10"/>
        <v>0</v>
      </c>
      <c r="AE51" s="166">
        <f>V51*INDEX(X51:AD51,MATCH($U$27,$X$28:$AD$28,0))</f>
        <v>0</v>
      </c>
      <c r="AG51" s="225"/>
    </row>
    <row r="52" spans="1:33" ht="12">
      <c r="A52" s="57" t="s">
        <v>14</v>
      </c>
      <c r="B52" s="58">
        <v>436.25</v>
      </c>
      <c r="C52" s="58"/>
      <c r="D52" s="36">
        <v>1.7</v>
      </c>
      <c r="E52" s="36">
        <v>165</v>
      </c>
      <c r="F52" s="36">
        <v>-16</v>
      </c>
      <c r="S52" s="189" t="s">
        <v>97</v>
      </c>
      <c r="T52" s="27"/>
      <c r="U52" s="27"/>
      <c r="V52" s="37">
        <v>29.148</v>
      </c>
      <c r="W52" s="37">
        <v>0.59470000000000001</v>
      </c>
      <c r="X52" s="133">
        <f ca="1">IF($B$6=3,0,1)*IF($T$27&lt;200,0,1)</f>
        <v>0</v>
      </c>
      <c r="Y52" s="133">
        <f t="shared" ref="Y52:AD54" ca="1" si="11">IF($B$6=3,0,1)*IF($T$27&lt;200,0,1)</f>
        <v>0</v>
      </c>
      <c r="Z52" s="133">
        <f t="shared" ca="1" si="11"/>
        <v>0</v>
      </c>
      <c r="AA52" s="133">
        <f t="shared" ca="1" si="11"/>
        <v>0</v>
      </c>
      <c r="AB52" s="133">
        <f t="shared" ca="1" si="11"/>
        <v>0</v>
      </c>
      <c r="AC52" s="133">
        <f t="shared" ca="1" si="11"/>
        <v>0</v>
      </c>
      <c r="AD52" s="133">
        <f t="shared" ca="1" si="11"/>
        <v>0</v>
      </c>
      <c r="AE52" s="166">
        <f ca="1">V52*$T$27^W52*INDEX(X52:AD52,MATCH($U$27,$X$28:$AD$28,0))</f>
        <v>0</v>
      </c>
      <c r="AG52" s="225"/>
    </row>
    <row r="53" spans="1:33" ht="12">
      <c r="A53" s="55" t="s">
        <v>29</v>
      </c>
      <c r="B53" s="56">
        <v>600.375</v>
      </c>
      <c r="C53" s="56"/>
      <c r="D53" s="36">
        <v>-1</v>
      </c>
      <c r="E53" s="36">
        <v>179</v>
      </c>
      <c r="F53" s="36">
        <v>-23</v>
      </c>
      <c r="S53" s="189" t="s">
        <v>98</v>
      </c>
      <c r="T53" s="27"/>
      <c r="U53" s="27"/>
      <c r="V53" s="37">
        <v>0.18790000000000001</v>
      </c>
      <c r="W53" s="37">
        <v>1044.7</v>
      </c>
      <c r="X53" s="133">
        <f ca="1">IF($B$6=3,0,1)*IF($T$27&lt;200,0,1)</f>
        <v>0</v>
      </c>
      <c r="Y53" s="133">
        <f t="shared" ca="1" si="11"/>
        <v>0</v>
      </c>
      <c r="Z53" s="133">
        <f t="shared" ca="1" si="11"/>
        <v>0</v>
      </c>
      <c r="AA53" s="133">
        <f t="shared" ca="1" si="11"/>
        <v>0</v>
      </c>
      <c r="AB53" s="133">
        <f t="shared" ca="1" si="11"/>
        <v>0</v>
      </c>
      <c r="AC53" s="133">
        <f t="shared" ca="1" si="11"/>
        <v>0</v>
      </c>
      <c r="AD53" s="133">
        <f t="shared" ca="1" si="11"/>
        <v>0</v>
      </c>
      <c r="AE53" s="166">
        <f ca="1">(V53*$T$27+W53)*INDEX(X53:AD53,MATCH($U$27,$X$28:$AD$28,0))</f>
        <v>0</v>
      </c>
      <c r="AG53" s="224"/>
    </row>
    <row r="54" spans="1:33" ht="12">
      <c r="A54" s="57" t="s">
        <v>15</v>
      </c>
      <c r="B54" s="58">
        <v>525.75</v>
      </c>
      <c r="C54" s="58"/>
      <c r="D54" s="36">
        <v>1.3</v>
      </c>
      <c r="E54" s="36">
        <v>163</v>
      </c>
      <c r="F54" s="36">
        <v>-19</v>
      </c>
      <c r="S54" s="189" t="s">
        <v>99</v>
      </c>
      <c r="T54" s="27"/>
      <c r="U54" s="27"/>
      <c r="V54" s="37">
        <v>0.25369999999999998</v>
      </c>
      <c r="W54" s="37">
        <v>659.86</v>
      </c>
      <c r="X54" s="133">
        <f ca="1">IF($B$6=3,0,1)*IF($T$27&lt;200,0,1)</f>
        <v>0</v>
      </c>
      <c r="Y54" s="133">
        <f t="shared" ca="1" si="11"/>
        <v>0</v>
      </c>
      <c r="Z54" s="133">
        <f t="shared" ca="1" si="11"/>
        <v>0</v>
      </c>
      <c r="AA54" s="133">
        <f t="shared" ca="1" si="11"/>
        <v>0</v>
      </c>
      <c r="AB54" s="133">
        <f t="shared" ca="1" si="11"/>
        <v>0</v>
      </c>
      <c r="AC54" s="133">
        <f t="shared" ca="1" si="11"/>
        <v>0</v>
      </c>
      <c r="AD54" s="133">
        <f t="shared" ca="1" si="11"/>
        <v>0</v>
      </c>
      <c r="AE54" s="166">
        <f ca="1">(V54*$T$27+W54)*INDEX(X54:AD54,MATCH($U$27,$X$28:$AD$28,0))</f>
        <v>0</v>
      </c>
      <c r="AG54" s="224"/>
    </row>
    <row r="55" spans="1:33" ht="12">
      <c r="A55" s="55" t="s">
        <v>30</v>
      </c>
      <c r="B55" s="56">
        <v>563</v>
      </c>
      <c r="C55" s="56"/>
      <c r="D55" s="36">
        <v>-0.1</v>
      </c>
      <c r="E55" s="36">
        <v>183</v>
      </c>
      <c r="F55" s="36">
        <v>-21</v>
      </c>
      <c r="S55" s="189" t="s">
        <v>100</v>
      </c>
      <c r="T55" s="27"/>
      <c r="U55" s="27"/>
      <c r="V55" s="37">
        <v>1.448</v>
      </c>
      <c r="W55" s="37">
        <v>0.90080000000000005</v>
      </c>
      <c r="X55" s="133">
        <f ca="1">IF($T$26=2,1,0)*IF($T$27&lt;200,0,1)</f>
        <v>0</v>
      </c>
      <c r="Y55" s="133">
        <f t="shared" ref="Y55:AD56" ca="1" si="12">IF($T$26=2,1,0)*IF($T$27&lt;200,0,1)</f>
        <v>0</v>
      </c>
      <c r="Z55" s="133">
        <f t="shared" ca="1" si="12"/>
        <v>0</v>
      </c>
      <c r="AA55" s="133">
        <f t="shared" ca="1" si="12"/>
        <v>0</v>
      </c>
      <c r="AB55" s="133">
        <f t="shared" ca="1" si="12"/>
        <v>0</v>
      </c>
      <c r="AC55" s="133">
        <f t="shared" ca="1" si="12"/>
        <v>0</v>
      </c>
      <c r="AD55" s="133">
        <f t="shared" ca="1" si="12"/>
        <v>0</v>
      </c>
      <c r="AE55" s="166">
        <f ca="1">V55*$T$27^W55*INDEX(X55:AD55,MATCH($U$27,$X$28:$AD$28,0))</f>
        <v>0</v>
      </c>
      <c r="AG55" s="225"/>
    </row>
    <row r="56" spans="1:33" ht="12">
      <c r="A56" s="55" t="s">
        <v>31</v>
      </c>
      <c r="B56" s="56">
        <v>577</v>
      </c>
      <c r="C56" s="56"/>
      <c r="D56" s="36">
        <v>-0.3</v>
      </c>
      <c r="E56" s="36">
        <v>178</v>
      </c>
      <c r="F56" s="36">
        <v>-21</v>
      </c>
      <c r="S56" s="189" t="s">
        <v>83</v>
      </c>
      <c r="T56" s="27"/>
      <c r="U56" s="27"/>
      <c r="V56" s="37">
        <v>1.448</v>
      </c>
      <c r="W56" s="37">
        <v>0.90080000000000005</v>
      </c>
      <c r="X56" s="133">
        <f ca="1">IF($T$26=2,1,0)*IF($T$27&lt;200,0,1)</f>
        <v>0</v>
      </c>
      <c r="Y56" s="133">
        <f t="shared" ca="1" si="12"/>
        <v>0</v>
      </c>
      <c r="Z56" s="133">
        <f t="shared" ca="1" si="12"/>
        <v>0</v>
      </c>
      <c r="AA56" s="133">
        <f t="shared" ca="1" si="12"/>
        <v>0</v>
      </c>
      <c r="AB56" s="133">
        <f t="shared" ca="1" si="12"/>
        <v>0</v>
      </c>
      <c r="AC56" s="133">
        <f t="shared" ca="1" si="12"/>
        <v>0</v>
      </c>
      <c r="AD56" s="133">
        <f t="shared" ca="1" si="12"/>
        <v>0</v>
      </c>
      <c r="AE56" s="166">
        <f ca="1">V56*$T$27^W56*INDEX(X56:AD56,MATCH($U$27,$X$28:$AD$28,0))</f>
        <v>0</v>
      </c>
      <c r="AG56" s="225"/>
    </row>
    <row r="57" spans="1:33" ht="12">
      <c r="A57" s="55" t="s">
        <v>32</v>
      </c>
      <c r="B57" s="56">
        <v>533.625</v>
      </c>
      <c r="C57" s="56"/>
      <c r="D57" s="36">
        <v>0.5</v>
      </c>
      <c r="E57" s="36">
        <v>175</v>
      </c>
      <c r="F57" s="36">
        <v>-20</v>
      </c>
      <c r="S57" s="189" t="s">
        <v>69</v>
      </c>
      <c r="T57" s="27"/>
      <c r="U57" s="27"/>
      <c r="V57" s="37">
        <v>4.4581</v>
      </c>
      <c r="W57" s="37">
        <v>0.87790000000000001</v>
      </c>
      <c r="X57" s="133">
        <f ca="1">IF($T$27&lt;200,0,1)</f>
        <v>1</v>
      </c>
      <c r="Y57" s="133">
        <f t="shared" ref="Y57:AD57" ca="1" si="13">IF($T$27&lt;200,0,1)</f>
        <v>1</v>
      </c>
      <c r="Z57" s="133">
        <f t="shared" ca="1" si="13"/>
        <v>1</v>
      </c>
      <c r="AA57" s="133">
        <f t="shared" ca="1" si="13"/>
        <v>1</v>
      </c>
      <c r="AB57" s="133">
        <f t="shared" ca="1" si="13"/>
        <v>1</v>
      </c>
      <c r="AC57" s="133">
        <f t="shared" ca="1" si="13"/>
        <v>1</v>
      </c>
      <c r="AD57" s="133">
        <f t="shared" ca="1" si="13"/>
        <v>1</v>
      </c>
      <c r="AE57" s="166">
        <f ca="1">V57*$T$27^W57*INDEX(X57:AD57,MATCH($U$27,$X$28:$AD$28,0))</f>
        <v>1918.0053133867484</v>
      </c>
      <c r="AG57" s="225"/>
    </row>
    <row r="58" spans="1:33" ht="12">
      <c r="A58" s="55" t="s">
        <v>33</v>
      </c>
      <c r="B58" s="56">
        <v>568.5</v>
      </c>
      <c r="C58" s="56"/>
      <c r="D58" s="36">
        <v>-0.9</v>
      </c>
      <c r="E58" s="36">
        <v>187</v>
      </c>
      <c r="F58" s="36">
        <v>-23</v>
      </c>
      <c r="S58" s="189" t="s">
        <v>101</v>
      </c>
      <c r="T58" s="27"/>
      <c r="U58" s="27"/>
      <c r="V58" s="180">
        <v>2021.90106612725</v>
      </c>
      <c r="W58" s="27"/>
      <c r="X58" s="133">
        <f ca="1">IF($B$6=3,0,1)*IF($T$27&lt;1000,0,1)</f>
        <v>0</v>
      </c>
      <c r="Y58" s="133">
        <f t="shared" ref="Y58:AD58" ca="1" si="14">IF($B$6=3,0,1)*IF($T$27&lt;1000,0,1)</f>
        <v>0</v>
      </c>
      <c r="Z58" s="133">
        <f t="shared" ca="1" si="14"/>
        <v>0</v>
      </c>
      <c r="AA58" s="133">
        <f t="shared" ca="1" si="14"/>
        <v>0</v>
      </c>
      <c r="AB58" s="133">
        <f t="shared" ca="1" si="14"/>
        <v>0</v>
      </c>
      <c r="AC58" s="133">
        <f t="shared" ca="1" si="14"/>
        <v>0</v>
      </c>
      <c r="AD58" s="133">
        <f t="shared" ca="1" si="14"/>
        <v>0</v>
      </c>
      <c r="AE58" s="166">
        <f ca="1">V58*INDEX(X58:AD58,MATCH($U$27,$X$28:$AD$28,0))*($T$27/1000)^0.33</f>
        <v>0</v>
      </c>
      <c r="AG58" s="224"/>
    </row>
    <row r="59" spans="1:33" ht="12.75" thickBot="1">
      <c r="A59" s="57" t="s">
        <v>153</v>
      </c>
      <c r="B59" s="58">
        <v>363.625</v>
      </c>
      <c r="C59" s="58"/>
      <c r="D59" s="36">
        <v>5.3</v>
      </c>
      <c r="E59" s="36">
        <v>126</v>
      </c>
      <c r="F59" s="36">
        <v>-6</v>
      </c>
      <c r="S59" s="31" t="s">
        <v>102</v>
      </c>
      <c r="T59" s="137"/>
      <c r="U59" s="137"/>
      <c r="V59" s="211">
        <v>4259.56385718621</v>
      </c>
      <c r="W59" s="137"/>
      <c r="X59" s="134">
        <f ca="1">IF($T$26&lt;&gt;2,0,1)*IF($T$27&lt;5000,0,1)</f>
        <v>0</v>
      </c>
      <c r="Y59" s="134">
        <f t="shared" ref="Y59:AD59" ca="1" si="15">IF($T$26&lt;&gt;2,0,1)*IF($T$27&lt;5000,0,1)</f>
        <v>0</v>
      </c>
      <c r="Z59" s="134">
        <f t="shared" ca="1" si="15"/>
        <v>0</v>
      </c>
      <c r="AA59" s="134">
        <f t="shared" ca="1" si="15"/>
        <v>0</v>
      </c>
      <c r="AB59" s="134">
        <f t="shared" ca="1" si="15"/>
        <v>0</v>
      </c>
      <c r="AC59" s="134">
        <f t="shared" ca="1" si="15"/>
        <v>0</v>
      </c>
      <c r="AD59" s="134">
        <f t="shared" ca="1" si="15"/>
        <v>0</v>
      </c>
      <c r="AE59" s="173">
        <f ca="1">V59*INDEX(X59:AD59,MATCH($U$27,$X$28:$AD$28,0))</f>
        <v>0</v>
      </c>
      <c r="AG59" s="224"/>
    </row>
    <row r="60" spans="1:33" ht="12.75" thickBot="1">
      <c r="A60" s="207"/>
      <c r="B60" s="208"/>
      <c r="C60" s="208"/>
      <c r="D60" s="209"/>
      <c r="E60" s="209"/>
      <c r="F60" s="209"/>
      <c r="S60" s="184" t="s">
        <v>233</v>
      </c>
      <c r="T60" s="147"/>
      <c r="U60" s="147"/>
      <c r="V60" s="186">
        <v>12.9848</v>
      </c>
      <c r="W60" s="147">
        <v>2908.3</v>
      </c>
      <c r="X60" s="177">
        <f>IF(Розрахунок!$E$49=1,1,0)</f>
        <v>0</v>
      </c>
      <c r="Y60" s="177">
        <f>IF(Розрахунок!$E$49=1,1,0)</f>
        <v>0</v>
      </c>
      <c r="Z60" s="177">
        <f>IF(Розрахунок!$E$49=1,1,0)</f>
        <v>0</v>
      </c>
      <c r="AA60" s="177">
        <f>IF(Розрахунок!$E$49=1,1,0)</f>
        <v>0</v>
      </c>
      <c r="AB60" s="177">
        <f>IF(Розрахунок!$E$49=1,1,0)</f>
        <v>0</v>
      </c>
      <c r="AC60" s="177">
        <f>IF(Розрахунок!$E$49=1,1,0)</f>
        <v>0</v>
      </c>
      <c r="AD60" s="177">
        <f>IF(Розрахунок!$E$49=1,1,0)</f>
        <v>0</v>
      </c>
      <c r="AE60" s="148">
        <f ca="1">(V60*$T$27+W60)*INDEX(X60:AD60,MATCH($U$27,$X$28:$AD$28,0))</f>
        <v>0</v>
      </c>
      <c r="AG60" s="225"/>
    </row>
    <row r="61" spans="1:33" ht="12.75" thickBot="1">
      <c r="A61" s="207"/>
      <c r="B61" s="208"/>
      <c r="C61" s="208"/>
      <c r="D61" s="209"/>
      <c r="E61" s="209"/>
      <c r="F61" s="209"/>
      <c r="S61" s="184" t="s">
        <v>224</v>
      </c>
      <c r="T61" s="147"/>
      <c r="U61" s="147"/>
      <c r="V61" s="186">
        <v>20000</v>
      </c>
      <c r="W61" s="147"/>
      <c r="X61" s="177">
        <v>0</v>
      </c>
      <c r="Y61" s="177">
        <v>1</v>
      </c>
      <c r="Z61" s="177">
        <v>1</v>
      </c>
      <c r="AA61" s="177">
        <v>1</v>
      </c>
      <c r="AB61" s="177">
        <v>0</v>
      </c>
      <c r="AC61" s="177">
        <v>0</v>
      </c>
      <c r="AD61" s="177">
        <v>0</v>
      </c>
      <c r="AE61" s="148">
        <f ca="1">V61*INDEX(X61:AD61,MATCH($U$27,$X$28:$AD$28,0))*IF($T$27&lt;1500,0,1)</f>
        <v>0</v>
      </c>
      <c r="AG61" s="225"/>
    </row>
    <row r="62" spans="1:33" ht="16.5" customHeight="1">
      <c r="S62" s="331" t="s">
        <v>106</v>
      </c>
      <c r="T62" s="190" t="s">
        <v>107</v>
      </c>
      <c r="U62" s="150"/>
      <c r="V62" s="206">
        <f>850*3/$T$11</f>
        <v>85.691530652364591</v>
      </c>
      <c r="W62" s="176">
        <v>100</v>
      </c>
      <c r="X62" s="133">
        <f ca="1">IF($T$26=3,0,1)*IF($T$27&lt;200,0,1)</f>
        <v>0</v>
      </c>
      <c r="Y62" s="133">
        <f t="shared" ref="Y62:AD62" ca="1" si="16">IF($T$26=3,0,1)*IF($T$27&lt;200,0,1)</f>
        <v>0</v>
      </c>
      <c r="Z62" s="133">
        <f t="shared" ca="1" si="16"/>
        <v>0</v>
      </c>
      <c r="AA62" s="133">
        <f t="shared" ca="1" si="16"/>
        <v>0</v>
      </c>
      <c r="AB62" s="133">
        <f t="shared" ca="1" si="16"/>
        <v>0</v>
      </c>
      <c r="AC62" s="133">
        <f t="shared" ca="1" si="16"/>
        <v>0</v>
      </c>
      <c r="AD62" s="133">
        <f t="shared" ca="1" si="16"/>
        <v>0</v>
      </c>
      <c r="AE62" s="163">
        <f ca="1">(V62*T63+W62)*INDEX(X62:AD62,MATCH($U$27,$X$28:$AD$28,0))</f>
        <v>0</v>
      </c>
      <c r="AG62" s="224"/>
    </row>
    <row r="63" spans="1:33" ht="12" customHeight="1" thickBot="1">
      <c r="S63" s="330"/>
      <c r="T63" s="192">
        <v>15</v>
      </c>
      <c r="U63" s="153"/>
      <c r="V63" s="178"/>
      <c r="W63" s="178"/>
      <c r="X63" s="153"/>
      <c r="Y63" s="153"/>
      <c r="Z63" s="153"/>
      <c r="AA63" s="153"/>
      <c r="AB63" s="153"/>
      <c r="AC63" s="153"/>
      <c r="AD63" s="153"/>
      <c r="AE63" s="169"/>
      <c r="AG63" s="224"/>
    </row>
    <row r="64" spans="1:33" ht="12" customHeight="1">
      <c r="S64" s="181" t="s">
        <v>225</v>
      </c>
      <c r="T64" s="150"/>
      <c r="U64" s="150"/>
      <c r="V64" s="176">
        <v>6624.4</v>
      </c>
      <c r="W64" s="176">
        <v>0.31929999999999997</v>
      </c>
      <c r="X64" s="176">
        <v>0</v>
      </c>
      <c r="Y64" s="176">
        <v>0</v>
      </c>
      <c r="Z64" s="176">
        <v>1</v>
      </c>
      <c r="AA64" s="176">
        <v>1</v>
      </c>
      <c r="AB64" s="176">
        <v>0</v>
      </c>
      <c r="AC64" s="176">
        <v>0</v>
      </c>
      <c r="AD64" s="176">
        <v>0</v>
      </c>
      <c r="AE64" s="170">
        <f ca="1">V64*$T$27^W64*INDEX(X64:AD64,MATCH($U$27,$X$28:$AD$28,0))</f>
        <v>0</v>
      </c>
      <c r="AG64" s="225"/>
    </row>
    <row r="65" spans="19:33" ht="12.75" thickBot="1">
      <c r="S65" s="182"/>
      <c r="T65" s="153"/>
      <c r="U65" s="153"/>
      <c r="V65" s="178">
        <v>7.6618000000000004</v>
      </c>
      <c r="W65" s="178">
        <v>0.98829999999999996</v>
      </c>
      <c r="X65" s="153"/>
      <c r="Y65" s="153"/>
      <c r="Z65" s="153"/>
      <c r="AA65" s="153"/>
      <c r="AB65" s="153"/>
      <c r="AC65" s="153"/>
      <c r="AD65" s="153"/>
      <c r="AE65" s="171"/>
    </row>
    <row r="66" spans="19:33" ht="12.75" thickBot="1">
      <c r="S66" s="182" t="s">
        <v>230</v>
      </c>
      <c r="T66" s="164"/>
      <c r="U66" s="164"/>
      <c r="V66" s="214">
        <v>50000</v>
      </c>
      <c r="W66" s="214"/>
      <c r="X66" s="214">
        <v>0</v>
      </c>
      <c r="Y66" s="214">
        <v>0</v>
      </c>
      <c r="Z66" s="214">
        <v>0</v>
      </c>
      <c r="AA66" s="214">
        <f t="shared" ref="AA66" ca="1" si="17">IF($T$27&gt;1000,1,0)</f>
        <v>0</v>
      </c>
      <c r="AB66" s="214">
        <v>0</v>
      </c>
      <c r="AC66" s="214">
        <v>0</v>
      </c>
      <c r="AD66" s="214">
        <v>0</v>
      </c>
      <c r="AE66" s="148">
        <f ca="1">V66*INDEX(X66:AD66,MATCH($U$27,$X$28:$AD$28,0))*IF($T$27&lt;1000,0,1)</f>
        <v>0</v>
      </c>
      <c r="AG66" s="225"/>
    </row>
    <row r="67" spans="19:33" ht="12.75" thickBot="1">
      <c r="S67" s="184" t="s">
        <v>222</v>
      </c>
      <c r="T67" s="147"/>
      <c r="U67" s="147"/>
      <c r="V67" s="186">
        <v>41.887999999999998</v>
      </c>
      <c r="W67" s="177">
        <v>0.85</v>
      </c>
      <c r="X67" s="177">
        <v>0</v>
      </c>
      <c r="Y67" s="177">
        <v>1</v>
      </c>
      <c r="Z67" s="177">
        <v>0</v>
      </c>
      <c r="AA67" s="177">
        <v>0</v>
      </c>
      <c r="AB67" s="177">
        <v>1</v>
      </c>
      <c r="AC67" s="177">
        <v>1</v>
      </c>
      <c r="AD67" s="177">
        <v>1</v>
      </c>
      <c r="AE67" s="148">
        <f ca="1">V67*$T$27^W67*INDEX(X67:AD67,MATCH($U$27,$X$28:$AD$28,0))</f>
        <v>0</v>
      </c>
      <c r="AG67" s="225"/>
    </row>
    <row r="68" spans="19:33" ht="12.75" thickBot="1">
      <c r="S68" s="184" t="s">
        <v>223</v>
      </c>
      <c r="T68" s="147"/>
      <c r="U68" s="147"/>
      <c r="V68" s="186">
        <v>265.75</v>
      </c>
      <c r="W68" s="177">
        <v>0.47349999999999998</v>
      </c>
      <c r="X68" s="177">
        <v>0</v>
      </c>
      <c r="Y68" s="177">
        <v>1</v>
      </c>
      <c r="Z68" s="177">
        <v>0</v>
      </c>
      <c r="AA68" s="177">
        <v>0</v>
      </c>
      <c r="AB68" s="177">
        <v>1</v>
      </c>
      <c r="AC68" s="177">
        <v>1</v>
      </c>
      <c r="AD68" s="177">
        <v>1</v>
      </c>
      <c r="AE68" s="148">
        <f ca="1">V68*$T$27^W68*INDEX(X68:AD68,MATCH($U$27,$X$28:$AD$28,0))</f>
        <v>0</v>
      </c>
      <c r="AG68" s="225"/>
    </row>
    <row r="69" spans="19:33" ht="45.75">
      <c r="S69" s="328" t="s">
        <v>93</v>
      </c>
      <c r="T69" s="221" t="s">
        <v>108</v>
      </c>
      <c r="U69" s="143"/>
      <c r="V69" s="135">
        <v>168.38</v>
      </c>
      <c r="W69" s="135">
        <v>0.2999</v>
      </c>
      <c r="X69" s="135">
        <f ca="1">IF($T$26=2,1,0)*IF($T$27&lt;200,0,1)</f>
        <v>0</v>
      </c>
      <c r="Y69" s="135">
        <f t="shared" ref="Y69:AD69" ca="1" si="18">IF($T$26=2,1,0)*IF($T$27&lt;200,0,1)</f>
        <v>0</v>
      </c>
      <c r="Z69" s="135">
        <f t="shared" ca="1" si="18"/>
        <v>0</v>
      </c>
      <c r="AA69" s="135">
        <f t="shared" ca="1" si="18"/>
        <v>0</v>
      </c>
      <c r="AB69" s="135">
        <f t="shared" ca="1" si="18"/>
        <v>0</v>
      </c>
      <c r="AC69" s="135">
        <f t="shared" ca="1" si="18"/>
        <v>0</v>
      </c>
      <c r="AD69" s="135">
        <f t="shared" ca="1" si="18"/>
        <v>0</v>
      </c>
      <c r="AE69" s="166">
        <f ca="1">V69*$T$27^W69*INDEX(X69:AD69,MATCH($U$27,$X$28:$AD$28,0))</f>
        <v>0</v>
      </c>
      <c r="AG69" s="225"/>
    </row>
    <row r="70" spans="19:33" ht="12">
      <c r="S70" s="329"/>
      <c r="T70" s="32">
        <f>ROUNDUP(Розрахунок!E56*Розрахунок!E34,-1)</f>
        <v>20</v>
      </c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168"/>
    </row>
    <row r="71" spans="19:33" ht="12">
      <c r="S71" s="329"/>
      <c r="T71" s="33">
        <v>300</v>
      </c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168"/>
    </row>
    <row r="72" spans="19:33" ht="12.75" thickBot="1">
      <c r="S72" s="191" t="s">
        <v>220</v>
      </c>
      <c r="T72" s="153"/>
      <c r="U72" s="153"/>
      <c r="V72" s="153"/>
      <c r="W72" s="153"/>
      <c r="X72" s="133">
        <f ca="1">IF($T$26=2,1,0)*IF($T$27&lt;200,0,1)</f>
        <v>0</v>
      </c>
      <c r="Y72" s="133">
        <f t="shared" ref="Y72:AD72" ca="1" si="19">IF($T$26=2,1,0)*IF($T$27&lt;200,0,1)</f>
        <v>0</v>
      </c>
      <c r="Z72" s="133">
        <f t="shared" ca="1" si="19"/>
        <v>0</v>
      </c>
      <c r="AA72" s="133">
        <f t="shared" ca="1" si="19"/>
        <v>0</v>
      </c>
      <c r="AB72" s="133">
        <f t="shared" ca="1" si="19"/>
        <v>0</v>
      </c>
      <c r="AC72" s="133">
        <f t="shared" ca="1" si="19"/>
        <v>0</v>
      </c>
      <c r="AD72" s="133">
        <f t="shared" ca="1" si="19"/>
        <v>0</v>
      </c>
      <c r="AE72" s="171">
        <f ca="1">(-152.503398+41.66327595*T70+26.45754788*T71)*INDEX(X72:AD72,MATCH($U$27,$X$28:$AD$28,0))</f>
        <v>0</v>
      </c>
      <c r="AG72" s="225"/>
    </row>
    <row r="73" spans="19:33" ht="36">
      <c r="S73" s="328" t="s">
        <v>109</v>
      </c>
      <c r="T73" s="216" t="s">
        <v>110</v>
      </c>
      <c r="U73" s="143"/>
      <c r="V73" s="135"/>
      <c r="W73" s="135"/>
      <c r="X73" s="176">
        <f ca="1">IF(AND(Розрахунок!E44&gt;0,Списки!B6&lt;&gt;3)=TRUE,1,0)</f>
        <v>0</v>
      </c>
      <c r="Y73" s="176">
        <f ca="1">IF(AND(Розрахунок!F44&gt;0,Списки!C6&lt;&gt;3)=TRUE,1,0)</f>
        <v>0</v>
      </c>
      <c r="Z73" s="176">
        <f>IF(AND(Розрахунок!G44&gt;0,Списки!D6&lt;&gt;3)=TRUE,1,0)</f>
        <v>0</v>
      </c>
      <c r="AA73" s="176">
        <f>IF(AND(Розрахунок!H44&gt;0,Списки!E6&lt;&gt;3)=TRUE,1,0)</f>
        <v>0</v>
      </c>
      <c r="AB73" s="176">
        <f>IF(AND(Розрахунок!I44&gt;0,Списки!F6&lt;&gt;3)=TRUE,1,0)</f>
        <v>0</v>
      </c>
      <c r="AC73" s="176">
        <f>IF(AND(Розрахунок!J44&gt;0,Списки!G6&lt;&gt;3)=TRUE,1,0)</f>
        <v>0</v>
      </c>
      <c r="AD73" s="176">
        <f>IF(AND(Розрахунок!K44&gt;0,Списки!H6&lt;&gt;3)=TRUE,1,0)</f>
        <v>0</v>
      </c>
      <c r="AE73" s="166">
        <f ca="1">(242.99*(T74*(14.486*($T$27)^0.2582)/1000) + 10382)*INDEX(X73:AD73,MATCH($U$27,$X$28:$AD$28,0))</f>
        <v>0</v>
      </c>
      <c r="AG73" s="225"/>
    </row>
    <row r="74" spans="19:33" ht="11.25" customHeight="1" thickBot="1">
      <c r="S74" s="330"/>
      <c r="T74" s="192">
        <v>400</v>
      </c>
      <c r="U74" s="153"/>
      <c r="V74" s="178"/>
      <c r="W74" s="178"/>
      <c r="X74" s="153"/>
      <c r="Y74" s="153"/>
      <c r="Z74" s="153"/>
      <c r="AA74" s="153"/>
      <c r="AB74" s="153"/>
      <c r="AC74" s="153"/>
      <c r="AD74" s="153"/>
      <c r="AE74" s="169"/>
    </row>
    <row r="75" spans="19:33" ht="11.25" customHeight="1">
      <c r="S75" s="181" t="s">
        <v>218</v>
      </c>
      <c r="T75" s="150"/>
      <c r="U75" s="150"/>
      <c r="V75" s="176">
        <v>49.713000000000001</v>
      </c>
      <c r="W75" s="176">
        <v>0.83530000000000004</v>
      </c>
      <c r="X75" s="176">
        <f ca="1">IF(AND(Розрахунок!$E$44&gt;0,Розрахунок!$E$48=1)=TRUE,1,0)</f>
        <v>0</v>
      </c>
      <c r="Y75" s="176">
        <f ca="1">IF(AND(Розрахунок!$E$44&gt;0,Розрахунок!$E$48=1)=TRUE,1,0)</f>
        <v>0</v>
      </c>
      <c r="Z75" s="176">
        <f ca="1">IF(AND(Розрахунок!$E$44&gt;0,Розрахунок!$E$48=1)=TRUE,1,0)</f>
        <v>0</v>
      </c>
      <c r="AA75" s="176">
        <f ca="1">IF(AND(Розрахунок!$E$44&gt;0,Розрахунок!$E$48=1)=TRUE,1,0)</f>
        <v>0</v>
      </c>
      <c r="AB75" s="176">
        <f ca="1">IF(AND(Розрахунок!$E$44&gt;0,Розрахунок!$E$48=1)=TRUE,1,0)</f>
        <v>0</v>
      </c>
      <c r="AC75" s="176">
        <f ca="1">IF(AND(Розрахунок!$E$44&gt;0,Розрахунок!$E$48=1)=TRUE,1,0)</f>
        <v>0</v>
      </c>
      <c r="AD75" s="176">
        <f ca="1">IF(AND(Розрахунок!$E$44&gt;0,Розрахунок!$E$48=1)=TRUE,1,0)</f>
        <v>0</v>
      </c>
      <c r="AE75" s="163">
        <f ca="1">ROUND(V75*(Розрахунок!E44*1000)^W75,-1)*INDEX(X75:AD75,MATCH($U$27,$X$28:$AD$28,0))</f>
        <v>0</v>
      </c>
      <c r="AG75" s="224"/>
    </row>
    <row r="76" spans="19:33" ht="24.75" thickBot="1">
      <c r="S76" s="182" t="s">
        <v>219</v>
      </c>
      <c r="T76" s="153"/>
      <c r="U76" s="153"/>
      <c r="V76" s="178">
        <v>44</v>
      </c>
      <c r="W76" s="178">
        <v>0.9</v>
      </c>
      <c r="X76" s="217">
        <v>0</v>
      </c>
      <c r="Y76" s="217">
        <v>0</v>
      </c>
      <c r="Z76" s="217">
        <v>0</v>
      </c>
      <c r="AA76" s="217">
        <v>0</v>
      </c>
      <c r="AB76" s="217">
        <v>0</v>
      </c>
      <c r="AC76" s="217">
        <v>0</v>
      </c>
      <c r="AD76" s="217">
        <v>0</v>
      </c>
      <c r="AE76" s="171">
        <f ca="1">ROUND(V76*$T$27^W76,-1)*INDEX(X76:AD76,MATCH($U$27,$X$28:$AD$28,0))</f>
        <v>0</v>
      </c>
      <c r="AG76" s="224"/>
    </row>
    <row r="77" spans="19:33" ht="15">
      <c r="S77" s="324" t="s">
        <v>232</v>
      </c>
      <c r="T77" s="324"/>
      <c r="U77" s="324"/>
      <c r="V77" s="324"/>
      <c r="W77" s="324"/>
      <c r="X77" s="324"/>
      <c r="Y77" s="324"/>
      <c r="Z77" s="324"/>
      <c r="AA77" s="324"/>
      <c r="AB77" s="324"/>
      <c r="AC77" s="229"/>
      <c r="AD77" s="229"/>
      <c r="AE77" s="222">
        <f>ROUND((-1.844708E-14*Розрахунок!$E$47^6 + 5.705654347E-11*Розрахунок!$E$47^5 - 6.558763948319E-08*Розрахунок!$E$47^4 + 0.0000335378612975595*Розрахунок!$E$47^3 - 0.00691169581371227*Розрахунок!$E$47^2 + 1.36523338177387*Розрахунок!$E$47^1 + 54.5354824701269)*Розрахунок!E46,-1)*IF(B6=3,0,1)</f>
        <v>0</v>
      </c>
      <c r="AG77" s="224"/>
    </row>
    <row r="78" spans="19:33" ht="12.75">
      <c r="S78" s="309" t="s">
        <v>226</v>
      </c>
      <c r="T78" s="310"/>
      <c r="U78" s="310"/>
      <c r="V78" s="310"/>
      <c r="W78" s="310"/>
      <c r="X78" s="310"/>
      <c r="Y78" s="310"/>
      <c r="Z78" s="310"/>
      <c r="AA78" s="310"/>
      <c r="AB78" s="310"/>
      <c r="AC78" s="310"/>
      <c r="AD78" s="311"/>
      <c r="AE78" s="218">
        <f ca="1">SUM(AE31:AE77)</f>
        <v>62760.310681596398</v>
      </c>
    </row>
    <row r="79" spans="19:33" ht="13.5" customHeight="1" thickBot="1">
      <c r="S79" s="325" t="s">
        <v>227</v>
      </c>
      <c r="T79" s="326"/>
      <c r="U79" s="326"/>
      <c r="V79" s="326"/>
      <c r="W79" s="326"/>
      <c r="X79" s="326"/>
      <c r="Y79" s="326"/>
      <c r="Z79" s="326"/>
      <c r="AA79" s="326"/>
      <c r="AB79" s="326"/>
      <c r="AC79" s="326"/>
      <c r="AD79" s="327"/>
      <c r="AE79" s="218">
        <f ca="1">AE78*1.19</f>
        <v>74684.769711099711</v>
      </c>
    </row>
    <row r="80" spans="19:33" ht="15.75" customHeight="1" thickBot="1">
      <c r="S80" s="303" t="s">
        <v>231</v>
      </c>
      <c r="T80" s="304"/>
      <c r="U80" s="304"/>
      <c r="V80" s="304"/>
      <c r="W80" s="304"/>
      <c r="X80" s="304"/>
      <c r="Y80" s="304"/>
      <c r="Z80" s="304"/>
      <c r="AA80" s="304"/>
      <c r="AB80" s="304"/>
      <c r="AC80" s="304"/>
      <c r="AD80" s="305"/>
      <c r="AE80" s="223">
        <f ca="1">AE79*1.2</f>
        <v>89621.723653319656</v>
      </c>
    </row>
    <row r="81" spans="19:31" ht="12.75">
      <c r="S81" s="306" t="s">
        <v>229</v>
      </c>
      <c r="T81" s="307"/>
      <c r="U81" s="307"/>
      <c r="V81" s="307"/>
      <c r="W81" s="307"/>
      <c r="X81" s="307"/>
      <c r="Y81" s="307"/>
      <c r="Z81" s="307"/>
      <c r="AA81" s="307"/>
      <c r="AB81" s="307"/>
      <c r="AC81" s="307"/>
      <c r="AD81" s="308"/>
      <c r="AE81" s="218">
        <f ca="1">AE79/$T$27</f>
        <v>74.684769711099705</v>
      </c>
    </row>
    <row r="82" spans="19:31" ht="12.75">
      <c r="S82" s="309" t="s">
        <v>228</v>
      </c>
      <c r="T82" s="310"/>
      <c r="U82" s="310"/>
      <c r="V82" s="310"/>
      <c r="W82" s="310"/>
      <c r="X82" s="310"/>
      <c r="Y82" s="310"/>
      <c r="Z82" s="310"/>
      <c r="AA82" s="310"/>
      <c r="AB82" s="310"/>
      <c r="AC82" s="310"/>
      <c r="AD82" s="311"/>
      <c r="AE82" s="218">
        <f ca="1">AE80/$T$27</f>
        <v>89.621723653319663</v>
      </c>
    </row>
    <row r="87" spans="19:31" ht="12" customHeight="1"/>
  </sheetData>
  <mergeCells count="29">
    <mergeCell ref="S77:AB77"/>
    <mergeCell ref="AC26:AC27"/>
    <mergeCell ref="AD26:AD27"/>
    <mergeCell ref="S78:AD78"/>
    <mergeCell ref="S79:AD79"/>
    <mergeCell ref="S69:S71"/>
    <mergeCell ref="S73:S74"/>
    <mergeCell ref="S62:S63"/>
    <mergeCell ref="S80:AD80"/>
    <mergeCell ref="S81:AD81"/>
    <mergeCell ref="S82:AD82"/>
    <mergeCell ref="I1:M1"/>
    <mergeCell ref="U1:U3"/>
    <mergeCell ref="V1:V3"/>
    <mergeCell ref="W1:AB1"/>
    <mergeCell ref="W3:AB3"/>
    <mergeCell ref="S25:AE25"/>
    <mergeCell ref="U9:V9"/>
    <mergeCell ref="V26:W27"/>
    <mergeCell ref="X26:X27"/>
    <mergeCell ref="Z26:Z27"/>
    <mergeCell ref="Y26:Y27"/>
    <mergeCell ref="AA26:AA27"/>
    <mergeCell ref="AB26:AB27"/>
    <mergeCell ref="A31:F31"/>
    <mergeCell ref="A32:A33"/>
    <mergeCell ref="D32:D33"/>
    <mergeCell ref="E32:E33"/>
    <mergeCell ref="F32:F33"/>
  </mergeCells>
  <conditionalFormatting sqref="S64">
    <cfRule type="expression" dxfId="1" priority="29">
      <formula>AND(#REF!=1,#REF!&gt;30,#REF!*1000/#REF!*#REF!&gt;=200,$A$31=FALSE)=TRUE</formula>
    </cfRule>
  </conditionalFormatting>
  <conditionalFormatting sqref="S67:S68">
    <cfRule type="expression" dxfId="0" priority="31">
      <formula>AND(#REF!=1,#REF!&gt;30,#REF!*1000/#REF!*#REF!&gt;=200,$A$31=FALSE)=TRUE</formula>
    </cfRule>
  </conditionalFormatting>
  <hyperlinks>
    <hyperlink ref="E20" r:id="rId1" display="https://www.dropbox.com/sh/wkqix7yyphh7ikf/AABUjoVZY0upPcyn_MJiSIDVa?dl=0"/>
  </hyperlinks>
  <pageMargins left="0.7" right="0.7" top="0.75" bottom="0.75" header="0.3" footer="0.3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2"/>
  <sheetViews>
    <sheetView tabSelected="1" topLeftCell="A22" workbookViewId="0">
      <selection activeCell="F87" sqref="F87"/>
    </sheetView>
  </sheetViews>
  <sheetFormatPr defaultRowHeight="15"/>
  <cols>
    <col min="1" max="16384" width="9.140625" style="34"/>
  </cols>
  <sheetData>
    <row r="1" spans="2:14">
      <c r="B1" s="230" t="s">
        <v>245</v>
      </c>
      <c r="K1" s="34" t="s">
        <v>246</v>
      </c>
      <c r="N1" s="46" t="s">
        <v>247</v>
      </c>
    </row>
    <row r="3" spans="2:14">
      <c r="B3" s="231" t="s">
        <v>248</v>
      </c>
    </row>
    <row r="38" spans="11:12">
      <c r="K38" s="34">
        <f>(396.64+476.77)/2</f>
        <v>436.70499999999998</v>
      </c>
      <c r="L38" s="34">
        <f>440</f>
        <v>440</v>
      </c>
    </row>
    <row r="40" spans="11:12">
      <c r="K40" s="34">
        <f>(19.83+25.86)/2</f>
        <v>22.844999999999999</v>
      </c>
      <c r="L40" s="34">
        <f>23</f>
        <v>23</v>
      </c>
    </row>
    <row r="62" ht="16.5" customHeight="1"/>
  </sheetData>
  <hyperlinks>
    <hyperlink ref="B1" r:id="rId1"/>
    <hyperlink ref="N1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Розрахунок</vt:lpstr>
      <vt:lpstr>CashFlow</vt:lpstr>
      <vt:lpstr>Списки</vt:lpstr>
      <vt:lpstr>Тарифи ЦО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Kramar</cp:lastModifiedBy>
  <cp:lastPrinted>2019-03-04T13:11:10Z</cp:lastPrinted>
  <dcterms:created xsi:type="dcterms:W3CDTF">2009-08-19T09:30:40Z</dcterms:created>
  <dcterms:modified xsi:type="dcterms:W3CDTF">2022-10-26T11:30:49Z</dcterms:modified>
</cp:coreProperties>
</file>